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货架商品\分路合路\耦合器\测试曲线及数据-向\"/>
    </mc:Choice>
  </mc:AlternateContent>
  <xr:revisionPtr revIDLastSave="0" documentId="13_ncr:1_{3C3F0442-E28C-469F-B999-61DAF4C237F2}" xr6:coauthVersionLast="47" xr6:coauthVersionMax="47" xr10:uidLastSave="{00000000-0000-0000-0000-000000000000}"/>
  <bookViews>
    <workbookView xWindow="-98" yWindow="-98" windowWidth="22695" windowHeight="14595" xr2:uid="{D4281C85-2154-4EF7-9D2F-CA9CF4621576}"/>
  </bookViews>
  <sheets>
    <sheet name="完整S参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02" i="1" l="1"/>
  <c r="E4002" i="1"/>
  <c r="F4001" i="1"/>
  <c r="E4001" i="1"/>
  <c r="F4000" i="1"/>
  <c r="E4000" i="1"/>
  <c r="F3999" i="1"/>
  <c r="E3999" i="1"/>
  <c r="F3998" i="1"/>
  <c r="E3998" i="1"/>
  <c r="F3997" i="1"/>
  <c r="E3997" i="1"/>
  <c r="F3996" i="1"/>
  <c r="E3996" i="1"/>
  <c r="F3995" i="1"/>
  <c r="E3995" i="1"/>
  <c r="F3994" i="1"/>
  <c r="E3994" i="1"/>
  <c r="F3993" i="1"/>
  <c r="E3993" i="1"/>
  <c r="F3992" i="1"/>
  <c r="E3992" i="1"/>
  <c r="F3991" i="1"/>
  <c r="E3991" i="1"/>
  <c r="F3990" i="1"/>
  <c r="E3990" i="1"/>
  <c r="F3989" i="1"/>
  <c r="E3989" i="1"/>
  <c r="F3988" i="1"/>
  <c r="E3988" i="1"/>
  <c r="F3987" i="1"/>
  <c r="E3987" i="1"/>
  <c r="F3986" i="1"/>
  <c r="E3986" i="1"/>
  <c r="F3985" i="1"/>
  <c r="E3985" i="1"/>
  <c r="F3984" i="1"/>
  <c r="E3984" i="1"/>
  <c r="F3983" i="1"/>
  <c r="E3983" i="1"/>
  <c r="F3982" i="1"/>
  <c r="E3982" i="1"/>
  <c r="F3981" i="1"/>
  <c r="E3981" i="1"/>
  <c r="F3980" i="1"/>
  <c r="E3980" i="1"/>
  <c r="F3979" i="1"/>
  <c r="E3979" i="1"/>
  <c r="F3978" i="1"/>
  <c r="E3978" i="1"/>
  <c r="F3977" i="1"/>
  <c r="E3977" i="1"/>
  <c r="F3976" i="1"/>
  <c r="E3976" i="1"/>
  <c r="F3975" i="1"/>
  <c r="E3975" i="1"/>
  <c r="F3974" i="1"/>
  <c r="E3974" i="1"/>
  <c r="F3973" i="1"/>
  <c r="E3973" i="1"/>
  <c r="F3972" i="1"/>
  <c r="E3972" i="1"/>
  <c r="F3971" i="1"/>
  <c r="E3971" i="1"/>
  <c r="F3970" i="1"/>
  <c r="E3970" i="1"/>
  <c r="F3969" i="1"/>
  <c r="E3969" i="1"/>
  <c r="F3968" i="1"/>
  <c r="E3968" i="1"/>
  <c r="F3967" i="1"/>
  <c r="E3967" i="1"/>
  <c r="F3966" i="1"/>
  <c r="E3966" i="1"/>
  <c r="F3965" i="1"/>
  <c r="E3965" i="1"/>
  <c r="F3964" i="1"/>
  <c r="E3964" i="1"/>
  <c r="F3963" i="1"/>
  <c r="E3963" i="1"/>
  <c r="F3962" i="1"/>
  <c r="E3962" i="1"/>
  <c r="F3961" i="1"/>
  <c r="E3961" i="1"/>
  <c r="F3960" i="1"/>
  <c r="E3960" i="1"/>
  <c r="F3959" i="1"/>
  <c r="E3959" i="1"/>
  <c r="F3958" i="1"/>
  <c r="E3958" i="1"/>
  <c r="F3957" i="1"/>
  <c r="E3957" i="1"/>
  <c r="F3956" i="1"/>
  <c r="E3956" i="1"/>
  <c r="F3955" i="1"/>
  <c r="E3955" i="1"/>
  <c r="F3954" i="1"/>
  <c r="E3954" i="1"/>
  <c r="F3953" i="1"/>
  <c r="E3953" i="1"/>
  <c r="F3952" i="1"/>
  <c r="E3952" i="1"/>
  <c r="F3951" i="1"/>
  <c r="E3951" i="1"/>
  <c r="F3950" i="1"/>
  <c r="E3950" i="1"/>
  <c r="F3949" i="1"/>
  <c r="E3949" i="1"/>
  <c r="F3948" i="1"/>
  <c r="E3948" i="1"/>
  <c r="F3947" i="1"/>
  <c r="E3947" i="1"/>
  <c r="F3946" i="1"/>
  <c r="E3946" i="1"/>
  <c r="F3945" i="1"/>
  <c r="E3945" i="1"/>
  <c r="F3944" i="1"/>
  <c r="E3944" i="1"/>
  <c r="F3943" i="1"/>
  <c r="E3943" i="1"/>
  <c r="F3942" i="1"/>
  <c r="E3942" i="1"/>
  <c r="F3941" i="1"/>
  <c r="E3941" i="1"/>
  <c r="F3940" i="1"/>
  <c r="E3940" i="1"/>
  <c r="F3939" i="1"/>
  <c r="E3939" i="1"/>
  <c r="F3938" i="1"/>
  <c r="E3938" i="1"/>
  <c r="F3937" i="1"/>
  <c r="E3937" i="1"/>
  <c r="F3936" i="1"/>
  <c r="E3936" i="1"/>
  <c r="F3935" i="1"/>
  <c r="E3935" i="1"/>
  <c r="F3934" i="1"/>
  <c r="E3934" i="1"/>
  <c r="F3933" i="1"/>
  <c r="E3933" i="1"/>
  <c r="F3932" i="1"/>
  <c r="E3932" i="1"/>
  <c r="F3931" i="1"/>
  <c r="E3931" i="1"/>
  <c r="F3930" i="1"/>
  <c r="E3930" i="1"/>
  <c r="F3929" i="1"/>
  <c r="E3929" i="1"/>
  <c r="F3928" i="1"/>
  <c r="E3928" i="1"/>
  <c r="F3927" i="1"/>
  <c r="E3927" i="1"/>
  <c r="F3926" i="1"/>
  <c r="E3926" i="1"/>
  <c r="F3925" i="1"/>
  <c r="E3925" i="1"/>
  <c r="F3924" i="1"/>
  <c r="E3924" i="1"/>
  <c r="F3923" i="1"/>
  <c r="E3923" i="1"/>
  <c r="F3922" i="1"/>
  <c r="E3922" i="1"/>
  <c r="F3921" i="1"/>
  <c r="E3921" i="1"/>
  <c r="F3920" i="1"/>
  <c r="E3920" i="1"/>
  <c r="F3919" i="1"/>
  <c r="E3919" i="1"/>
  <c r="F3918" i="1"/>
  <c r="E3918" i="1"/>
  <c r="F3917" i="1"/>
  <c r="E3917" i="1"/>
  <c r="F3916" i="1"/>
  <c r="E3916" i="1"/>
  <c r="F3915" i="1"/>
  <c r="E3915" i="1"/>
  <c r="F3914" i="1"/>
  <c r="E3914" i="1"/>
  <c r="F3913" i="1"/>
  <c r="E3913" i="1"/>
  <c r="F3912" i="1"/>
  <c r="E3912" i="1"/>
  <c r="F3911" i="1"/>
  <c r="E3911" i="1"/>
  <c r="F3910" i="1"/>
  <c r="E3910" i="1"/>
  <c r="F3909" i="1"/>
  <c r="E3909" i="1"/>
  <c r="F3908" i="1"/>
  <c r="E3908" i="1"/>
  <c r="F3907" i="1"/>
  <c r="E3907" i="1"/>
  <c r="F3906" i="1"/>
  <c r="E3906" i="1"/>
  <c r="F3905" i="1"/>
  <c r="E3905" i="1"/>
  <c r="F3904" i="1"/>
  <c r="E3904" i="1"/>
  <c r="F3903" i="1"/>
  <c r="E3903" i="1"/>
  <c r="F3902" i="1"/>
  <c r="E3902" i="1"/>
  <c r="F3901" i="1"/>
  <c r="E3901" i="1"/>
  <c r="F3900" i="1"/>
  <c r="E3900" i="1"/>
  <c r="F3899" i="1"/>
  <c r="E3899" i="1"/>
  <c r="F3898" i="1"/>
  <c r="E3898" i="1"/>
  <c r="F3897" i="1"/>
  <c r="E3897" i="1"/>
  <c r="F3896" i="1"/>
  <c r="E3896" i="1"/>
  <c r="F3895" i="1"/>
  <c r="E3895" i="1"/>
  <c r="F3894" i="1"/>
  <c r="E3894" i="1"/>
  <c r="F3893" i="1"/>
  <c r="E3893" i="1"/>
  <c r="F3892" i="1"/>
  <c r="E3892" i="1"/>
  <c r="F3891" i="1"/>
  <c r="E3891" i="1"/>
  <c r="F3890" i="1"/>
  <c r="E3890" i="1"/>
  <c r="F3889" i="1"/>
  <c r="E3889" i="1"/>
  <c r="F3888" i="1"/>
  <c r="E3888" i="1"/>
  <c r="F3887" i="1"/>
  <c r="E3887" i="1"/>
  <c r="F3886" i="1"/>
  <c r="E3886" i="1"/>
  <c r="F3885" i="1"/>
  <c r="E3885" i="1"/>
  <c r="F3884" i="1"/>
  <c r="E3884" i="1"/>
  <c r="F3883" i="1"/>
  <c r="E3883" i="1"/>
  <c r="F3882" i="1"/>
  <c r="E3882" i="1"/>
  <c r="F3881" i="1"/>
  <c r="E3881" i="1"/>
  <c r="F3880" i="1"/>
  <c r="E3880" i="1"/>
  <c r="F3879" i="1"/>
  <c r="E3879" i="1"/>
  <c r="F3878" i="1"/>
  <c r="E3878" i="1"/>
  <c r="F3877" i="1"/>
  <c r="E3877" i="1"/>
  <c r="F3876" i="1"/>
  <c r="E3876" i="1"/>
  <c r="F3875" i="1"/>
  <c r="E3875" i="1"/>
  <c r="F3874" i="1"/>
  <c r="E3874" i="1"/>
  <c r="F3873" i="1"/>
  <c r="E3873" i="1"/>
  <c r="F3872" i="1"/>
  <c r="E3872" i="1"/>
  <c r="F3871" i="1"/>
  <c r="E3871" i="1"/>
  <c r="F3870" i="1"/>
  <c r="E3870" i="1"/>
  <c r="F3869" i="1"/>
  <c r="E3869" i="1"/>
  <c r="F3868" i="1"/>
  <c r="E3868" i="1"/>
  <c r="F3867" i="1"/>
  <c r="E3867" i="1"/>
  <c r="F3866" i="1"/>
  <c r="E3866" i="1"/>
  <c r="F3865" i="1"/>
  <c r="E3865" i="1"/>
  <c r="F3864" i="1"/>
  <c r="E3864" i="1"/>
  <c r="F3863" i="1"/>
  <c r="E3863" i="1"/>
  <c r="F3862" i="1"/>
  <c r="E3862" i="1"/>
  <c r="F3861" i="1"/>
  <c r="E3861" i="1"/>
  <c r="F3860" i="1"/>
  <c r="E3860" i="1"/>
  <c r="F3859" i="1"/>
  <c r="E3859" i="1"/>
  <c r="F3858" i="1"/>
  <c r="E3858" i="1"/>
  <c r="F3857" i="1"/>
  <c r="E3857" i="1"/>
  <c r="F3856" i="1"/>
  <c r="E3856" i="1"/>
  <c r="F3855" i="1"/>
  <c r="E3855" i="1"/>
  <c r="F3854" i="1"/>
  <c r="E3854" i="1"/>
  <c r="F3853" i="1"/>
  <c r="E3853" i="1"/>
  <c r="F3852" i="1"/>
  <c r="E3852" i="1"/>
  <c r="F3851" i="1"/>
  <c r="E3851" i="1"/>
  <c r="F3850" i="1"/>
  <c r="E3850" i="1"/>
  <c r="F3849" i="1"/>
  <c r="E3849" i="1"/>
  <c r="F3848" i="1"/>
  <c r="E3848" i="1"/>
  <c r="F3847" i="1"/>
  <c r="E3847" i="1"/>
  <c r="F3846" i="1"/>
  <c r="E3846" i="1"/>
  <c r="F3845" i="1"/>
  <c r="E3845" i="1"/>
  <c r="F3844" i="1"/>
  <c r="E3844" i="1"/>
  <c r="F3843" i="1"/>
  <c r="E3843" i="1"/>
  <c r="F3842" i="1"/>
  <c r="E3842" i="1"/>
  <c r="F3841" i="1"/>
  <c r="E3841" i="1"/>
  <c r="F3840" i="1"/>
  <c r="E3840" i="1"/>
  <c r="F3839" i="1"/>
  <c r="E3839" i="1"/>
  <c r="F3838" i="1"/>
  <c r="E3838" i="1"/>
  <c r="F3837" i="1"/>
  <c r="E3837" i="1"/>
  <c r="F3836" i="1"/>
  <c r="E3836" i="1"/>
  <c r="F3835" i="1"/>
  <c r="E3835" i="1"/>
  <c r="F3834" i="1"/>
  <c r="E3834" i="1"/>
  <c r="F3833" i="1"/>
  <c r="E3833" i="1"/>
  <c r="F3832" i="1"/>
  <c r="E3832" i="1"/>
  <c r="F3831" i="1"/>
  <c r="E3831" i="1"/>
  <c r="F3830" i="1"/>
  <c r="E3830" i="1"/>
  <c r="F3829" i="1"/>
  <c r="E3829" i="1"/>
  <c r="F3828" i="1"/>
  <c r="E3828" i="1"/>
  <c r="F3827" i="1"/>
  <c r="E3827" i="1"/>
  <c r="F3826" i="1"/>
  <c r="E3826" i="1"/>
  <c r="F3825" i="1"/>
  <c r="E3825" i="1"/>
  <c r="F3824" i="1"/>
  <c r="E3824" i="1"/>
  <c r="F3823" i="1"/>
  <c r="E3823" i="1"/>
  <c r="F3822" i="1"/>
  <c r="E3822" i="1"/>
  <c r="F3821" i="1"/>
  <c r="E3821" i="1"/>
  <c r="F3820" i="1"/>
  <c r="E3820" i="1"/>
  <c r="F3819" i="1"/>
  <c r="E3819" i="1"/>
  <c r="F3818" i="1"/>
  <c r="E3818" i="1"/>
  <c r="F3817" i="1"/>
  <c r="E3817" i="1"/>
  <c r="F3816" i="1"/>
  <c r="E3816" i="1"/>
  <c r="F3815" i="1"/>
  <c r="E3815" i="1"/>
  <c r="F3814" i="1"/>
  <c r="E3814" i="1"/>
  <c r="F3813" i="1"/>
  <c r="E3813" i="1"/>
  <c r="F3812" i="1"/>
  <c r="E3812" i="1"/>
  <c r="F3811" i="1"/>
  <c r="E3811" i="1"/>
  <c r="F3810" i="1"/>
  <c r="E3810" i="1"/>
  <c r="F3809" i="1"/>
  <c r="E3809" i="1"/>
  <c r="F3808" i="1"/>
  <c r="E3808" i="1"/>
  <c r="F3807" i="1"/>
  <c r="E3807" i="1"/>
  <c r="F3806" i="1"/>
  <c r="E3806" i="1"/>
  <c r="F3805" i="1"/>
  <c r="E3805" i="1"/>
  <c r="F3804" i="1"/>
  <c r="E3804" i="1"/>
  <c r="F3803" i="1"/>
  <c r="E3803" i="1"/>
  <c r="F3802" i="1"/>
  <c r="E3802" i="1"/>
  <c r="F3801" i="1"/>
  <c r="E3801" i="1"/>
  <c r="F3800" i="1"/>
  <c r="E3800" i="1"/>
  <c r="F3799" i="1"/>
  <c r="E3799" i="1"/>
  <c r="F3798" i="1"/>
  <c r="E3798" i="1"/>
  <c r="F3797" i="1"/>
  <c r="E3797" i="1"/>
  <c r="F3796" i="1"/>
  <c r="E3796" i="1"/>
  <c r="F3795" i="1"/>
  <c r="E3795" i="1"/>
  <c r="F3794" i="1"/>
  <c r="E3794" i="1"/>
  <c r="F3793" i="1"/>
  <c r="E3793" i="1"/>
  <c r="F3792" i="1"/>
  <c r="E3792" i="1"/>
  <c r="F3791" i="1"/>
  <c r="E3791" i="1"/>
  <c r="F3790" i="1"/>
  <c r="E3790" i="1"/>
  <c r="F3789" i="1"/>
  <c r="E3789" i="1"/>
  <c r="F3788" i="1"/>
  <c r="E3788" i="1"/>
  <c r="F3787" i="1"/>
  <c r="E3787" i="1"/>
  <c r="F3786" i="1"/>
  <c r="E3786" i="1"/>
  <c r="F3785" i="1"/>
  <c r="E3785" i="1"/>
  <c r="F3784" i="1"/>
  <c r="E3784" i="1"/>
  <c r="F3783" i="1"/>
  <c r="E3783" i="1"/>
  <c r="F3782" i="1"/>
  <c r="E3782" i="1"/>
  <c r="F3781" i="1"/>
  <c r="E3781" i="1"/>
  <c r="F3780" i="1"/>
  <c r="E3780" i="1"/>
  <c r="F3779" i="1"/>
  <c r="E3779" i="1"/>
  <c r="F3778" i="1"/>
  <c r="E3778" i="1"/>
  <c r="F3777" i="1"/>
  <c r="E3777" i="1"/>
  <c r="F3776" i="1"/>
  <c r="E3776" i="1"/>
  <c r="F3775" i="1"/>
  <c r="E3775" i="1"/>
  <c r="F3774" i="1"/>
  <c r="E3774" i="1"/>
  <c r="F3773" i="1"/>
  <c r="E3773" i="1"/>
  <c r="F3772" i="1"/>
  <c r="E3772" i="1"/>
  <c r="F3771" i="1"/>
  <c r="E3771" i="1"/>
  <c r="F3770" i="1"/>
  <c r="E3770" i="1"/>
  <c r="F3769" i="1"/>
  <c r="E3769" i="1"/>
  <c r="F3768" i="1"/>
  <c r="E3768" i="1"/>
  <c r="F3767" i="1"/>
  <c r="E3767" i="1"/>
  <c r="F3766" i="1"/>
  <c r="E3766" i="1"/>
  <c r="F3765" i="1"/>
  <c r="E3765" i="1"/>
  <c r="F3764" i="1"/>
  <c r="E3764" i="1"/>
  <c r="F3763" i="1"/>
  <c r="E3763" i="1"/>
  <c r="F3762" i="1"/>
  <c r="E3762" i="1"/>
  <c r="F3761" i="1"/>
  <c r="E3761" i="1"/>
  <c r="F3760" i="1"/>
  <c r="E3760" i="1"/>
  <c r="F3759" i="1"/>
  <c r="E3759" i="1"/>
  <c r="F3758" i="1"/>
  <c r="E3758" i="1"/>
  <c r="F3757" i="1"/>
  <c r="E3757" i="1"/>
  <c r="F3756" i="1"/>
  <c r="E3756" i="1"/>
  <c r="F3755" i="1"/>
  <c r="E3755" i="1"/>
  <c r="F3754" i="1"/>
  <c r="E3754" i="1"/>
  <c r="F3753" i="1"/>
  <c r="E3753" i="1"/>
  <c r="F3752" i="1"/>
  <c r="E3752" i="1"/>
  <c r="F3751" i="1"/>
  <c r="E3751" i="1"/>
  <c r="F3750" i="1"/>
  <c r="E3750" i="1"/>
  <c r="F3749" i="1"/>
  <c r="E3749" i="1"/>
  <c r="F3748" i="1"/>
  <c r="E3748" i="1"/>
  <c r="F3747" i="1"/>
  <c r="E3747" i="1"/>
  <c r="F3746" i="1"/>
  <c r="E3746" i="1"/>
  <c r="F3745" i="1"/>
  <c r="E3745" i="1"/>
  <c r="F3744" i="1"/>
  <c r="E3744" i="1"/>
  <c r="F3743" i="1"/>
  <c r="E3743" i="1"/>
  <c r="F3742" i="1"/>
  <c r="E3742" i="1"/>
  <c r="F3741" i="1"/>
  <c r="E3741" i="1"/>
  <c r="F3740" i="1"/>
  <c r="E3740" i="1"/>
  <c r="F3739" i="1"/>
  <c r="E3739" i="1"/>
  <c r="F3738" i="1"/>
  <c r="E3738" i="1"/>
  <c r="F3737" i="1"/>
  <c r="E3737" i="1"/>
  <c r="F3736" i="1"/>
  <c r="E3736" i="1"/>
  <c r="F3735" i="1"/>
  <c r="E3735" i="1"/>
  <c r="F3734" i="1"/>
  <c r="E3734" i="1"/>
  <c r="F3733" i="1"/>
  <c r="E3733" i="1"/>
  <c r="F3732" i="1"/>
  <c r="E3732" i="1"/>
  <c r="F3731" i="1"/>
  <c r="E3731" i="1"/>
  <c r="F3730" i="1"/>
  <c r="E3730" i="1"/>
  <c r="F3729" i="1"/>
  <c r="E3729" i="1"/>
  <c r="F3728" i="1"/>
  <c r="E3728" i="1"/>
  <c r="F3727" i="1"/>
  <c r="E3727" i="1"/>
  <c r="F3726" i="1"/>
  <c r="E3726" i="1"/>
  <c r="F3725" i="1"/>
  <c r="E3725" i="1"/>
  <c r="F3724" i="1"/>
  <c r="E3724" i="1"/>
  <c r="F3723" i="1"/>
  <c r="E3723" i="1"/>
  <c r="F3722" i="1"/>
  <c r="E3722" i="1"/>
  <c r="F3721" i="1"/>
  <c r="E3721" i="1"/>
  <c r="F3720" i="1"/>
  <c r="E3720" i="1"/>
  <c r="F3719" i="1"/>
  <c r="E3719" i="1"/>
  <c r="F3718" i="1"/>
  <c r="E3718" i="1"/>
  <c r="F3717" i="1"/>
  <c r="E3717" i="1"/>
  <c r="F3716" i="1"/>
  <c r="E3716" i="1"/>
  <c r="F3715" i="1"/>
  <c r="E3715" i="1"/>
  <c r="F3714" i="1"/>
  <c r="E3714" i="1"/>
  <c r="F3713" i="1"/>
  <c r="E3713" i="1"/>
  <c r="F3712" i="1"/>
  <c r="E3712" i="1"/>
  <c r="F3711" i="1"/>
  <c r="E3711" i="1"/>
  <c r="F3710" i="1"/>
  <c r="E3710" i="1"/>
  <c r="F3709" i="1"/>
  <c r="E3709" i="1"/>
  <c r="F3708" i="1"/>
  <c r="E3708" i="1"/>
  <c r="F3707" i="1"/>
  <c r="E3707" i="1"/>
  <c r="F3706" i="1"/>
  <c r="E3706" i="1"/>
  <c r="F3705" i="1"/>
  <c r="E3705" i="1"/>
  <c r="F3704" i="1"/>
  <c r="E3704" i="1"/>
  <c r="F3703" i="1"/>
  <c r="E3703" i="1"/>
  <c r="F3702" i="1"/>
  <c r="E3702" i="1"/>
  <c r="F3701" i="1"/>
  <c r="E3701" i="1"/>
  <c r="F3700" i="1"/>
  <c r="E3700" i="1"/>
  <c r="F3699" i="1"/>
  <c r="E3699" i="1"/>
  <c r="F3698" i="1"/>
  <c r="E3698" i="1"/>
  <c r="F3697" i="1"/>
  <c r="E3697" i="1"/>
  <c r="F3696" i="1"/>
  <c r="E3696" i="1"/>
  <c r="F3695" i="1"/>
  <c r="E3695" i="1"/>
  <c r="F3694" i="1"/>
  <c r="E3694" i="1"/>
  <c r="F3693" i="1"/>
  <c r="E3693" i="1"/>
  <c r="F3692" i="1"/>
  <c r="E3692" i="1"/>
  <c r="F3691" i="1"/>
  <c r="E3691" i="1"/>
  <c r="F3690" i="1"/>
  <c r="E3690" i="1"/>
  <c r="F3689" i="1"/>
  <c r="E3689" i="1"/>
  <c r="F3688" i="1"/>
  <c r="E3688" i="1"/>
  <c r="F3687" i="1"/>
  <c r="E3687" i="1"/>
  <c r="F3686" i="1"/>
  <c r="E3686" i="1"/>
  <c r="F3685" i="1"/>
  <c r="E3685" i="1"/>
  <c r="F3684" i="1"/>
  <c r="E3684" i="1"/>
  <c r="F3683" i="1"/>
  <c r="E3683" i="1"/>
  <c r="F3682" i="1"/>
  <c r="E3682" i="1"/>
  <c r="F3681" i="1"/>
  <c r="E3681" i="1"/>
  <c r="F3680" i="1"/>
  <c r="E3680" i="1"/>
  <c r="F3679" i="1"/>
  <c r="E3679" i="1"/>
  <c r="F3678" i="1"/>
  <c r="E3678" i="1"/>
  <c r="F3677" i="1"/>
  <c r="E3677" i="1"/>
  <c r="F3676" i="1"/>
  <c r="E3676" i="1"/>
  <c r="F3675" i="1"/>
  <c r="E3675" i="1"/>
  <c r="F3674" i="1"/>
  <c r="E3674" i="1"/>
  <c r="F3673" i="1"/>
  <c r="E3673" i="1"/>
  <c r="F3672" i="1"/>
  <c r="E3672" i="1"/>
  <c r="F3671" i="1"/>
  <c r="E3671" i="1"/>
  <c r="F3670" i="1"/>
  <c r="E3670" i="1"/>
  <c r="F3669" i="1"/>
  <c r="E3669" i="1"/>
  <c r="F3668" i="1"/>
  <c r="E3668" i="1"/>
  <c r="F3667" i="1"/>
  <c r="E3667" i="1"/>
  <c r="F3666" i="1"/>
  <c r="E3666" i="1"/>
  <c r="F3665" i="1"/>
  <c r="E3665" i="1"/>
  <c r="F3664" i="1"/>
  <c r="E3664" i="1"/>
  <c r="F3663" i="1"/>
  <c r="E3663" i="1"/>
  <c r="F3662" i="1"/>
  <c r="E3662" i="1"/>
  <c r="F3661" i="1"/>
  <c r="E3661" i="1"/>
  <c r="F3660" i="1"/>
  <c r="E3660" i="1"/>
  <c r="F3659" i="1"/>
  <c r="E3659" i="1"/>
  <c r="F3658" i="1"/>
  <c r="E3658" i="1"/>
  <c r="F3657" i="1"/>
  <c r="E3657" i="1"/>
  <c r="F3656" i="1"/>
  <c r="E3656" i="1"/>
  <c r="F3655" i="1"/>
  <c r="E3655" i="1"/>
  <c r="F3654" i="1"/>
  <c r="E3654" i="1"/>
  <c r="F3653" i="1"/>
  <c r="E3653" i="1"/>
  <c r="F3652" i="1"/>
  <c r="E3652" i="1"/>
  <c r="F3651" i="1"/>
  <c r="E3651" i="1"/>
  <c r="F3650" i="1"/>
  <c r="E3650" i="1"/>
  <c r="F3649" i="1"/>
  <c r="E3649" i="1"/>
  <c r="F3648" i="1"/>
  <c r="E3648" i="1"/>
  <c r="F3647" i="1"/>
  <c r="E3647" i="1"/>
  <c r="F3646" i="1"/>
  <c r="E3646" i="1"/>
  <c r="F3645" i="1"/>
  <c r="E3645" i="1"/>
  <c r="F3644" i="1"/>
  <c r="E3644" i="1"/>
  <c r="F3643" i="1"/>
  <c r="E3643" i="1"/>
  <c r="F3642" i="1"/>
  <c r="E3642" i="1"/>
  <c r="F3641" i="1"/>
  <c r="E3641" i="1"/>
  <c r="F3640" i="1"/>
  <c r="E3640" i="1"/>
  <c r="F3639" i="1"/>
  <c r="E3639" i="1"/>
  <c r="F3638" i="1"/>
  <c r="E3638" i="1"/>
  <c r="F3637" i="1"/>
  <c r="E3637" i="1"/>
  <c r="F3636" i="1"/>
  <c r="E3636" i="1"/>
  <c r="F3635" i="1"/>
  <c r="E3635" i="1"/>
  <c r="F3634" i="1"/>
  <c r="E3634" i="1"/>
  <c r="F3633" i="1"/>
  <c r="E3633" i="1"/>
  <c r="F3632" i="1"/>
  <c r="E3632" i="1"/>
  <c r="F3631" i="1"/>
  <c r="E3631" i="1"/>
  <c r="F3630" i="1"/>
  <c r="E3630" i="1"/>
  <c r="F3629" i="1"/>
  <c r="E3629" i="1"/>
  <c r="F3628" i="1"/>
  <c r="E3628" i="1"/>
  <c r="F3627" i="1"/>
  <c r="E3627" i="1"/>
  <c r="F3626" i="1"/>
  <c r="E3626" i="1"/>
  <c r="F3625" i="1"/>
  <c r="E3625" i="1"/>
  <c r="F3624" i="1"/>
  <c r="E3624" i="1"/>
  <c r="F3623" i="1"/>
  <c r="E3623" i="1"/>
  <c r="F3622" i="1"/>
  <c r="E3622" i="1"/>
  <c r="F3621" i="1"/>
  <c r="E3621" i="1"/>
  <c r="F3620" i="1"/>
  <c r="E3620" i="1"/>
  <c r="F3619" i="1"/>
  <c r="E3619" i="1"/>
  <c r="F3618" i="1"/>
  <c r="E3618" i="1"/>
  <c r="F3617" i="1"/>
  <c r="E3617" i="1"/>
  <c r="F3616" i="1"/>
  <c r="E3616" i="1"/>
  <c r="F3615" i="1"/>
  <c r="E3615" i="1"/>
  <c r="F3614" i="1"/>
  <c r="E3614" i="1"/>
  <c r="F3613" i="1"/>
  <c r="E3613" i="1"/>
  <c r="F3612" i="1"/>
  <c r="E3612" i="1"/>
  <c r="F3611" i="1"/>
  <c r="E3611" i="1"/>
  <c r="F3610" i="1"/>
  <c r="E3610" i="1"/>
  <c r="F3609" i="1"/>
  <c r="E3609" i="1"/>
  <c r="F3608" i="1"/>
  <c r="E3608" i="1"/>
  <c r="F3607" i="1"/>
  <c r="E3607" i="1"/>
  <c r="F3606" i="1"/>
  <c r="E3606" i="1"/>
  <c r="F3605" i="1"/>
  <c r="E3605" i="1"/>
  <c r="F3604" i="1"/>
  <c r="E3604" i="1"/>
  <c r="F3603" i="1"/>
  <c r="E3603" i="1"/>
  <c r="F3602" i="1"/>
  <c r="E3602" i="1"/>
  <c r="F3601" i="1"/>
  <c r="E3601" i="1"/>
  <c r="F3600" i="1"/>
  <c r="E3600" i="1"/>
  <c r="F3599" i="1"/>
  <c r="E3599" i="1"/>
  <c r="F3598" i="1"/>
  <c r="E3598" i="1"/>
  <c r="F3597" i="1"/>
  <c r="E3597" i="1"/>
  <c r="F3596" i="1"/>
  <c r="E3596" i="1"/>
  <c r="F3595" i="1"/>
  <c r="E3595" i="1"/>
  <c r="F3594" i="1"/>
  <c r="E3594" i="1"/>
  <c r="F3593" i="1"/>
  <c r="E3593" i="1"/>
  <c r="F3592" i="1"/>
  <c r="E3592" i="1"/>
  <c r="F3591" i="1"/>
  <c r="E3591" i="1"/>
  <c r="F3590" i="1"/>
  <c r="E3590" i="1"/>
  <c r="F3589" i="1"/>
  <c r="E3589" i="1"/>
  <c r="F3588" i="1"/>
  <c r="E3588" i="1"/>
  <c r="F3587" i="1"/>
  <c r="E3587" i="1"/>
  <c r="F3586" i="1"/>
  <c r="E3586" i="1"/>
  <c r="F3585" i="1"/>
  <c r="E3585" i="1"/>
  <c r="F3584" i="1"/>
  <c r="E3584" i="1"/>
  <c r="F3583" i="1"/>
  <c r="E3583" i="1"/>
  <c r="F3582" i="1"/>
  <c r="E3582" i="1"/>
  <c r="F3581" i="1"/>
  <c r="E3581" i="1"/>
  <c r="F3580" i="1"/>
  <c r="E3580" i="1"/>
  <c r="F3579" i="1"/>
  <c r="E3579" i="1"/>
  <c r="F3578" i="1"/>
  <c r="E3578" i="1"/>
  <c r="F3577" i="1"/>
  <c r="E3577" i="1"/>
  <c r="F3576" i="1"/>
  <c r="E3576" i="1"/>
  <c r="F3575" i="1"/>
  <c r="E3575" i="1"/>
  <c r="F3574" i="1"/>
  <c r="E3574" i="1"/>
  <c r="F3573" i="1"/>
  <c r="E3573" i="1"/>
  <c r="F3572" i="1"/>
  <c r="E3572" i="1"/>
  <c r="F3571" i="1"/>
  <c r="E3571" i="1"/>
  <c r="F3570" i="1"/>
  <c r="E3570" i="1"/>
  <c r="F3569" i="1"/>
  <c r="E3569" i="1"/>
  <c r="F3568" i="1"/>
  <c r="E3568" i="1"/>
  <c r="F3567" i="1"/>
  <c r="E3567" i="1"/>
  <c r="F3566" i="1"/>
  <c r="E3566" i="1"/>
  <c r="F3565" i="1"/>
  <c r="E3565" i="1"/>
  <c r="F3564" i="1"/>
  <c r="E3564" i="1"/>
  <c r="F3563" i="1"/>
  <c r="E3563" i="1"/>
  <c r="F3562" i="1"/>
  <c r="E3562" i="1"/>
  <c r="F3561" i="1"/>
  <c r="E3561" i="1"/>
  <c r="F3560" i="1"/>
  <c r="E3560" i="1"/>
  <c r="F3559" i="1"/>
  <c r="E3559" i="1"/>
  <c r="F3558" i="1"/>
  <c r="E3558" i="1"/>
  <c r="F3557" i="1"/>
  <c r="E3557" i="1"/>
  <c r="F3556" i="1"/>
  <c r="E3556" i="1"/>
  <c r="F3555" i="1"/>
  <c r="E3555" i="1"/>
  <c r="F3554" i="1"/>
  <c r="E3554" i="1"/>
  <c r="F3553" i="1"/>
  <c r="E3553" i="1"/>
  <c r="F3552" i="1"/>
  <c r="E3552" i="1"/>
  <c r="F3551" i="1"/>
  <c r="E3551" i="1"/>
  <c r="F3550" i="1"/>
  <c r="E3550" i="1"/>
  <c r="F3549" i="1"/>
  <c r="E3549" i="1"/>
  <c r="F3548" i="1"/>
  <c r="E3548" i="1"/>
  <c r="F3547" i="1"/>
  <c r="E3547" i="1"/>
  <c r="F3546" i="1"/>
  <c r="E3546" i="1"/>
  <c r="F3545" i="1"/>
  <c r="E3545" i="1"/>
  <c r="F3544" i="1"/>
  <c r="E3544" i="1"/>
  <c r="F3543" i="1"/>
  <c r="E3543" i="1"/>
  <c r="F3542" i="1"/>
  <c r="E3542" i="1"/>
  <c r="F3541" i="1"/>
  <c r="E3541" i="1"/>
  <c r="F3540" i="1"/>
  <c r="E3540" i="1"/>
  <c r="F3539" i="1"/>
  <c r="E3539" i="1"/>
  <c r="F3538" i="1"/>
  <c r="E3538" i="1"/>
  <c r="F3537" i="1"/>
  <c r="E3537" i="1"/>
  <c r="F3536" i="1"/>
  <c r="E3536" i="1"/>
  <c r="F3535" i="1"/>
  <c r="E3535" i="1"/>
  <c r="F3534" i="1"/>
  <c r="E3534" i="1"/>
  <c r="F3533" i="1"/>
  <c r="E3533" i="1"/>
  <c r="F3532" i="1"/>
  <c r="E3532" i="1"/>
  <c r="F3531" i="1"/>
  <c r="E3531" i="1"/>
  <c r="F3530" i="1"/>
  <c r="E3530" i="1"/>
  <c r="F3529" i="1"/>
  <c r="E3529" i="1"/>
  <c r="F3528" i="1"/>
  <c r="E3528" i="1"/>
  <c r="F3527" i="1"/>
  <c r="E3527" i="1"/>
  <c r="F3526" i="1"/>
  <c r="E3526" i="1"/>
  <c r="F3525" i="1"/>
  <c r="E3525" i="1"/>
  <c r="F3524" i="1"/>
  <c r="E3524" i="1"/>
  <c r="F3523" i="1"/>
  <c r="E3523" i="1"/>
  <c r="F3522" i="1"/>
  <c r="E3522" i="1"/>
  <c r="F3521" i="1"/>
  <c r="E3521" i="1"/>
  <c r="F3520" i="1"/>
  <c r="E3520" i="1"/>
  <c r="F3519" i="1"/>
  <c r="E3519" i="1"/>
  <c r="F3518" i="1"/>
  <c r="E3518" i="1"/>
  <c r="F3517" i="1"/>
  <c r="E3517" i="1"/>
  <c r="F3516" i="1"/>
  <c r="E3516" i="1"/>
  <c r="F3515" i="1"/>
  <c r="E3515" i="1"/>
  <c r="F3514" i="1"/>
  <c r="E3514" i="1"/>
  <c r="F3513" i="1"/>
  <c r="E3513" i="1"/>
  <c r="F3512" i="1"/>
  <c r="E3512" i="1"/>
  <c r="F3511" i="1"/>
  <c r="E3511" i="1"/>
  <c r="F3510" i="1"/>
  <c r="E3510" i="1"/>
  <c r="F3509" i="1"/>
  <c r="E3509" i="1"/>
  <c r="F3508" i="1"/>
  <c r="E3508" i="1"/>
  <c r="F3507" i="1"/>
  <c r="E3507" i="1"/>
  <c r="F3506" i="1"/>
  <c r="E3506" i="1"/>
  <c r="F3505" i="1"/>
  <c r="E3505" i="1"/>
  <c r="F3504" i="1"/>
  <c r="E3504" i="1"/>
  <c r="F3503" i="1"/>
  <c r="E3503" i="1"/>
  <c r="F3502" i="1"/>
  <c r="E3502" i="1"/>
  <c r="F3501" i="1"/>
  <c r="E3501" i="1"/>
  <c r="F3500" i="1"/>
  <c r="E3500" i="1"/>
  <c r="F3499" i="1"/>
  <c r="E3499" i="1"/>
  <c r="F3498" i="1"/>
  <c r="E3498" i="1"/>
  <c r="F3497" i="1"/>
  <c r="E3497" i="1"/>
  <c r="F3496" i="1"/>
  <c r="E3496" i="1"/>
  <c r="F3495" i="1"/>
  <c r="E3495" i="1"/>
  <c r="F3494" i="1"/>
  <c r="E3494" i="1"/>
  <c r="F3493" i="1"/>
  <c r="E3493" i="1"/>
  <c r="F3492" i="1"/>
  <c r="E3492" i="1"/>
  <c r="F3491" i="1"/>
  <c r="E3491" i="1"/>
  <c r="F3490" i="1"/>
  <c r="E3490" i="1"/>
  <c r="F3489" i="1"/>
  <c r="E3489" i="1"/>
  <c r="F3488" i="1"/>
  <c r="E3488" i="1"/>
  <c r="F3487" i="1"/>
  <c r="E3487" i="1"/>
  <c r="F3486" i="1"/>
  <c r="E3486" i="1"/>
  <c r="F3485" i="1"/>
  <c r="E3485" i="1"/>
  <c r="F3484" i="1"/>
  <c r="E3484" i="1"/>
  <c r="F3483" i="1"/>
  <c r="E3483" i="1"/>
  <c r="F3482" i="1"/>
  <c r="E3482" i="1"/>
  <c r="F3481" i="1"/>
  <c r="E3481" i="1"/>
  <c r="F3480" i="1"/>
  <c r="E3480" i="1"/>
  <c r="F3479" i="1"/>
  <c r="E3479" i="1"/>
  <c r="F3478" i="1"/>
  <c r="E3478" i="1"/>
  <c r="F3477" i="1"/>
  <c r="E3477" i="1"/>
  <c r="F3476" i="1"/>
  <c r="E3476" i="1"/>
  <c r="F3475" i="1"/>
  <c r="E3475" i="1"/>
  <c r="F3474" i="1"/>
  <c r="E3474" i="1"/>
  <c r="F3473" i="1"/>
  <c r="E3473" i="1"/>
  <c r="F3472" i="1"/>
  <c r="E3472" i="1"/>
  <c r="F3471" i="1"/>
  <c r="E3471" i="1"/>
  <c r="F3470" i="1"/>
  <c r="E3470" i="1"/>
  <c r="F3469" i="1"/>
  <c r="E3469" i="1"/>
  <c r="F3468" i="1"/>
  <c r="E3468" i="1"/>
  <c r="F3467" i="1"/>
  <c r="E3467" i="1"/>
  <c r="F3466" i="1"/>
  <c r="E3466" i="1"/>
  <c r="F3465" i="1"/>
  <c r="E3465" i="1"/>
  <c r="F3464" i="1"/>
  <c r="E3464" i="1"/>
  <c r="F3463" i="1"/>
  <c r="E3463" i="1"/>
  <c r="F3462" i="1"/>
  <c r="E3462" i="1"/>
  <c r="F3461" i="1"/>
  <c r="E3461" i="1"/>
  <c r="F3460" i="1"/>
  <c r="E3460" i="1"/>
  <c r="F3459" i="1"/>
  <c r="E3459" i="1"/>
  <c r="F3458" i="1"/>
  <c r="E3458" i="1"/>
  <c r="F3457" i="1"/>
  <c r="E3457" i="1"/>
  <c r="F3456" i="1"/>
  <c r="E3456" i="1"/>
  <c r="F3455" i="1"/>
  <c r="E3455" i="1"/>
  <c r="F3454" i="1"/>
  <c r="E3454" i="1"/>
  <c r="F3453" i="1"/>
  <c r="E3453" i="1"/>
  <c r="F3452" i="1"/>
  <c r="E3452" i="1"/>
  <c r="F3451" i="1"/>
  <c r="E3451" i="1"/>
  <c r="F3450" i="1"/>
  <c r="E3450" i="1"/>
  <c r="F3449" i="1"/>
  <c r="E3449" i="1"/>
  <c r="F3448" i="1"/>
  <c r="E3448" i="1"/>
  <c r="F3447" i="1"/>
  <c r="E3447" i="1"/>
  <c r="F3446" i="1"/>
  <c r="E3446" i="1"/>
  <c r="F3445" i="1"/>
  <c r="E3445" i="1"/>
  <c r="F3444" i="1"/>
  <c r="E3444" i="1"/>
  <c r="F3443" i="1"/>
  <c r="E3443" i="1"/>
  <c r="F3442" i="1"/>
  <c r="E3442" i="1"/>
  <c r="F3441" i="1"/>
  <c r="E3441" i="1"/>
  <c r="F3440" i="1"/>
  <c r="E3440" i="1"/>
  <c r="F3439" i="1"/>
  <c r="E3439" i="1"/>
  <c r="F3438" i="1"/>
  <c r="E3438" i="1"/>
  <c r="F3437" i="1"/>
  <c r="E3437" i="1"/>
  <c r="F3436" i="1"/>
  <c r="E3436" i="1"/>
  <c r="F3435" i="1"/>
  <c r="E3435" i="1"/>
  <c r="F3434" i="1"/>
  <c r="E3434" i="1"/>
  <c r="F3433" i="1"/>
  <c r="E3433" i="1"/>
  <c r="F3432" i="1"/>
  <c r="E3432" i="1"/>
  <c r="F3431" i="1"/>
  <c r="E3431" i="1"/>
  <c r="F3430" i="1"/>
  <c r="E3430" i="1"/>
  <c r="F3429" i="1"/>
  <c r="E3429" i="1"/>
  <c r="F3428" i="1"/>
  <c r="E3428" i="1"/>
  <c r="F3427" i="1"/>
  <c r="E3427" i="1"/>
  <c r="F3426" i="1"/>
  <c r="E3426" i="1"/>
  <c r="F3425" i="1"/>
  <c r="E3425" i="1"/>
  <c r="F3424" i="1"/>
  <c r="E3424" i="1"/>
  <c r="F3423" i="1"/>
  <c r="E3423" i="1"/>
  <c r="F3422" i="1"/>
  <c r="E3422" i="1"/>
  <c r="F3421" i="1"/>
  <c r="E3421" i="1"/>
  <c r="F3420" i="1"/>
  <c r="E3420" i="1"/>
  <c r="F3419" i="1"/>
  <c r="E3419" i="1"/>
  <c r="F3418" i="1"/>
  <c r="E3418" i="1"/>
  <c r="F3417" i="1"/>
  <c r="E3417" i="1"/>
  <c r="F3416" i="1"/>
  <c r="E3416" i="1"/>
  <c r="F3415" i="1"/>
  <c r="E3415" i="1"/>
  <c r="F3414" i="1"/>
  <c r="E3414" i="1"/>
  <c r="F3413" i="1"/>
  <c r="E3413" i="1"/>
  <c r="F3412" i="1"/>
  <c r="E3412" i="1"/>
  <c r="F3411" i="1"/>
  <c r="E3411" i="1"/>
  <c r="F3410" i="1"/>
  <c r="E3410" i="1"/>
  <c r="F3409" i="1"/>
  <c r="E3409" i="1"/>
  <c r="F3408" i="1"/>
  <c r="E3408" i="1"/>
  <c r="F3407" i="1"/>
  <c r="E3407" i="1"/>
  <c r="F3406" i="1"/>
  <c r="E3406" i="1"/>
  <c r="F3405" i="1"/>
  <c r="E3405" i="1"/>
  <c r="F3404" i="1"/>
  <c r="E3404" i="1"/>
  <c r="F3403" i="1"/>
  <c r="E3403" i="1"/>
  <c r="F3402" i="1"/>
  <c r="E3402" i="1"/>
  <c r="F3401" i="1"/>
  <c r="E3401" i="1"/>
  <c r="F3400" i="1"/>
  <c r="E3400" i="1"/>
  <c r="F3399" i="1"/>
  <c r="E3399" i="1"/>
  <c r="F3398" i="1"/>
  <c r="E3398" i="1"/>
  <c r="F3397" i="1"/>
  <c r="E3397" i="1"/>
  <c r="F3396" i="1"/>
  <c r="E3396" i="1"/>
  <c r="F3395" i="1"/>
  <c r="E3395" i="1"/>
  <c r="F3394" i="1"/>
  <c r="E3394" i="1"/>
  <c r="F3393" i="1"/>
  <c r="E3393" i="1"/>
  <c r="F3392" i="1"/>
  <c r="E3392" i="1"/>
  <c r="F3391" i="1"/>
  <c r="E3391" i="1"/>
  <c r="F3390" i="1"/>
  <c r="E3390" i="1"/>
  <c r="F3389" i="1"/>
  <c r="E3389" i="1"/>
  <c r="F3388" i="1"/>
  <c r="E3388" i="1"/>
  <c r="F3387" i="1"/>
  <c r="E3387" i="1"/>
  <c r="F3386" i="1"/>
  <c r="E3386" i="1"/>
  <c r="F3385" i="1"/>
  <c r="E3385" i="1"/>
  <c r="F3384" i="1"/>
  <c r="E3384" i="1"/>
  <c r="F3383" i="1"/>
  <c r="E3383" i="1"/>
  <c r="F3382" i="1"/>
  <c r="E3382" i="1"/>
  <c r="F3381" i="1"/>
  <c r="E3381" i="1"/>
  <c r="F3380" i="1"/>
  <c r="E3380" i="1"/>
  <c r="F3379" i="1"/>
  <c r="E3379" i="1"/>
  <c r="F3378" i="1"/>
  <c r="E3378" i="1"/>
  <c r="F3377" i="1"/>
  <c r="E3377" i="1"/>
  <c r="F3376" i="1"/>
  <c r="E3376" i="1"/>
  <c r="F3375" i="1"/>
  <c r="E3375" i="1"/>
  <c r="F3374" i="1"/>
  <c r="E3374" i="1"/>
  <c r="F3373" i="1"/>
  <c r="E3373" i="1"/>
  <c r="F3372" i="1"/>
  <c r="E3372" i="1"/>
  <c r="F3371" i="1"/>
  <c r="E3371" i="1"/>
  <c r="F3370" i="1"/>
  <c r="E3370" i="1"/>
  <c r="F3369" i="1"/>
  <c r="E3369" i="1"/>
  <c r="F3368" i="1"/>
  <c r="E3368" i="1"/>
  <c r="F3367" i="1"/>
  <c r="E3367" i="1"/>
  <c r="F3366" i="1"/>
  <c r="E3366" i="1"/>
  <c r="F3365" i="1"/>
  <c r="E3365" i="1"/>
  <c r="F3364" i="1"/>
  <c r="E3364" i="1"/>
  <c r="F3363" i="1"/>
  <c r="E3363" i="1"/>
  <c r="F3362" i="1"/>
  <c r="E3362" i="1"/>
  <c r="F3361" i="1"/>
  <c r="E3361" i="1"/>
  <c r="F3360" i="1"/>
  <c r="E3360" i="1"/>
  <c r="F3359" i="1"/>
  <c r="E3359" i="1"/>
  <c r="F3358" i="1"/>
  <c r="E3358" i="1"/>
  <c r="F3357" i="1"/>
  <c r="E3357" i="1"/>
  <c r="F3356" i="1"/>
  <c r="E3356" i="1"/>
  <c r="F3355" i="1"/>
  <c r="E3355" i="1"/>
  <c r="F3354" i="1"/>
  <c r="E3354" i="1"/>
  <c r="F3353" i="1"/>
  <c r="E3353" i="1"/>
  <c r="F3352" i="1"/>
  <c r="E3352" i="1"/>
  <c r="F3351" i="1"/>
  <c r="E3351" i="1"/>
  <c r="F3350" i="1"/>
  <c r="E3350" i="1"/>
  <c r="F3349" i="1"/>
  <c r="E3349" i="1"/>
  <c r="F3348" i="1"/>
  <c r="E3348" i="1"/>
  <c r="F3347" i="1"/>
  <c r="E3347" i="1"/>
  <c r="F3346" i="1"/>
  <c r="E3346" i="1"/>
  <c r="F3345" i="1"/>
  <c r="E3345" i="1"/>
  <c r="F3344" i="1"/>
  <c r="E3344" i="1"/>
  <c r="F3343" i="1"/>
  <c r="E3343" i="1"/>
  <c r="F3342" i="1"/>
  <c r="E3342" i="1"/>
  <c r="F3341" i="1"/>
  <c r="E3341" i="1"/>
  <c r="F3340" i="1"/>
  <c r="E3340" i="1"/>
  <c r="F3339" i="1"/>
  <c r="E3339" i="1"/>
  <c r="F3338" i="1"/>
  <c r="E3338" i="1"/>
  <c r="F3337" i="1"/>
  <c r="E3337" i="1"/>
  <c r="F3336" i="1"/>
  <c r="E3336" i="1"/>
  <c r="F3335" i="1"/>
  <c r="E3335" i="1"/>
  <c r="F3334" i="1"/>
  <c r="E3334" i="1"/>
  <c r="F3333" i="1"/>
  <c r="E3333" i="1"/>
  <c r="F3332" i="1"/>
  <c r="E3332" i="1"/>
  <c r="F3331" i="1"/>
  <c r="E3331" i="1"/>
  <c r="F3330" i="1"/>
  <c r="E3330" i="1"/>
  <c r="F3329" i="1"/>
  <c r="E3329" i="1"/>
  <c r="F3328" i="1"/>
  <c r="E3328" i="1"/>
  <c r="F3327" i="1"/>
  <c r="E3327" i="1"/>
  <c r="F3326" i="1"/>
  <c r="E3326" i="1"/>
  <c r="F3325" i="1"/>
  <c r="E3325" i="1"/>
  <c r="F3324" i="1"/>
  <c r="E3324" i="1"/>
  <c r="F3323" i="1"/>
  <c r="E3323" i="1"/>
  <c r="F3322" i="1"/>
  <c r="E3322" i="1"/>
  <c r="F3321" i="1"/>
  <c r="E3321" i="1"/>
  <c r="F3320" i="1"/>
  <c r="E3320" i="1"/>
  <c r="F3319" i="1"/>
  <c r="E3319" i="1"/>
  <c r="F3318" i="1"/>
  <c r="E3318" i="1"/>
  <c r="F3317" i="1"/>
  <c r="E3317" i="1"/>
  <c r="F3316" i="1"/>
  <c r="E3316" i="1"/>
  <c r="F3315" i="1"/>
  <c r="E3315" i="1"/>
  <c r="F3314" i="1"/>
  <c r="E3314" i="1"/>
  <c r="F3313" i="1"/>
  <c r="E3313" i="1"/>
  <c r="F3312" i="1"/>
  <c r="E3312" i="1"/>
  <c r="F3311" i="1"/>
  <c r="E3311" i="1"/>
  <c r="F3310" i="1"/>
  <c r="E3310" i="1"/>
  <c r="F3309" i="1"/>
  <c r="E3309" i="1"/>
  <c r="F3308" i="1"/>
  <c r="E3308" i="1"/>
  <c r="F3307" i="1"/>
  <c r="E3307" i="1"/>
  <c r="F3306" i="1"/>
  <c r="E3306" i="1"/>
  <c r="F3305" i="1"/>
  <c r="E3305" i="1"/>
  <c r="F3304" i="1"/>
  <c r="E3304" i="1"/>
  <c r="F3303" i="1"/>
  <c r="E3303" i="1"/>
  <c r="F3302" i="1"/>
  <c r="E3302" i="1"/>
  <c r="F3301" i="1"/>
  <c r="E3301" i="1"/>
  <c r="F3300" i="1"/>
  <c r="E3300" i="1"/>
  <c r="F3299" i="1"/>
  <c r="E3299" i="1"/>
  <c r="F3298" i="1"/>
  <c r="E3298" i="1"/>
  <c r="F3297" i="1"/>
  <c r="E3297" i="1"/>
  <c r="F3296" i="1"/>
  <c r="E3296" i="1"/>
  <c r="F3295" i="1"/>
  <c r="E3295" i="1"/>
  <c r="F3294" i="1"/>
  <c r="E3294" i="1"/>
  <c r="F3293" i="1"/>
  <c r="E3293" i="1"/>
  <c r="F3292" i="1"/>
  <c r="E3292" i="1"/>
  <c r="F3291" i="1"/>
  <c r="E3291" i="1"/>
  <c r="F3290" i="1"/>
  <c r="E3290" i="1"/>
  <c r="F3289" i="1"/>
  <c r="E3289" i="1"/>
  <c r="F3288" i="1"/>
  <c r="E3288" i="1"/>
  <c r="F3287" i="1"/>
  <c r="E3287" i="1"/>
  <c r="F3286" i="1"/>
  <c r="E3286" i="1"/>
  <c r="F3285" i="1"/>
  <c r="E3285" i="1"/>
  <c r="F3284" i="1"/>
  <c r="E3284" i="1"/>
  <c r="F3283" i="1"/>
  <c r="E3283" i="1"/>
  <c r="F3282" i="1"/>
  <c r="E3282" i="1"/>
  <c r="F3281" i="1"/>
  <c r="E3281" i="1"/>
  <c r="F3280" i="1"/>
  <c r="E3280" i="1"/>
  <c r="F3279" i="1"/>
  <c r="E3279" i="1"/>
  <c r="F3278" i="1"/>
  <c r="E3278" i="1"/>
  <c r="F3277" i="1"/>
  <c r="E3277" i="1"/>
  <c r="F3276" i="1"/>
  <c r="E3276" i="1"/>
  <c r="F3275" i="1"/>
  <c r="E3275" i="1"/>
  <c r="F3274" i="1"/>
  <c r="E3274" i="1"/>
  <c r="F3273" i="1"/>
  <c r="E3273" i="1"/>
  <c r="F3272" i="1"/>
  <c r="E3272" i="1"/>
  <c r="F3271" i="1"/>
  <c r="E3271" i="1"/>
  <c r="F3270" i="1"/>
  <c r="E3270" i="1"/>
  <c r="F3269" i="1"/>
  <c r="E3269" i="1"/>
  <c r="F3268" i="1"/>
  <c r="E3268" i="1"/>
  <c r="F3267" i="1"/>
  <c r="E3267" i="1"/>
  <c r="F3266" i="1"/>
  <c r="E3266" i="1"/>
  <c r="F3265" i="1"/>
  <c r="E3265" i="1"/>
  <c r="F3264" i="1"/>
  <c r="E3264" i="1"/>
  <c r="F3263" i="1"/>
  <c r="E3263" i="1"/>
  <c r="F3262" i="1"/>
  <c r="E3262" i="1"/>
  <c r="F3261" i="1"/>
  <c r="E3261" i="1"/>
  <c r="F3260" i="1"/>
  <c r="E3260" i="1"/>
  <c r="F3259" i="1"/>
  <c r="E3259" i="1"/>
  <c r="F3258" i="1"/>
  <c r="E3258" i="1"/>
  <c r="F3257" i="1"/>
  <c r="E3257" i="1"/>
  <c r="F3256" i="1"/>
  <c r="E3256" i="1"/>
  <c r="F3255" i="1"/>
  <c r="E3255" i="1"/>
  <c r="F3254" i="1"/>
  <c r="E3254" i="1"/>
  <c r="F3253" i="1"/>
  <c r="E3253" i="1"/>
  <c r="F3252" i="1"/>
  <c r="E3252" i="1"/>
  <c r="F3251" i="1"/>
  <c r="E3251" i="1"/>
  <c r="F3250" i="1"/>
  <c r="E3250" i="1"/>
  <c r="F3249" i="1"/>
  <c r="E3249" i="1"/>
  <c r="F3248" i="1"/>
  <c r="E3248" i="1"/>
  <c r="F3247" i="1"/>
  <c r="E3247" i="1"/>
  <c r="F3246" i="1"/>
  <c r="E3246" i="1"/>
  <c r="F3245" i="1"/>
  <c r="E3245" i="1"/>
  <c r="F3244" i="1"/>
  <c r="E3244" i="1"/>
  <c r="F3243" i="1"/>
  <c r="E3243" i="1"/>
  <c r="F3242" i="1"/>
  <c r="E3242" i="1"/>
  <c r="F3241" i="1"/>
  <c r="E3241" i="1"/>
  <c r="F3240" i="1"/>
  <c r="E3240" i="1"/>
  <c r="F3239" i="1"/>
  <c r="E3239" i="1"/>
  <c r="F3238" i="1"/>
  <c r="E3238" i="1"/>
  <c r="F3237" i="1"/>
  <c r="E3237" i="1"/>
  <c r="F3236" i="1"/>
  <c r="E3236" i="1"/>
  <c r="F3235" i="1"/>
  <c r="E3235" i="1"/>
  <c r="F3234" i="1"/>
  <c r="E3234" i="1"/>
  <c r="F3233" i="1"/>
  <c r="E3233" i="1"/>
  <c r="F3232" i="1"/>
  <c r="E3232" i="1"/>
  <c r="F3231" i="1"/>
  <c r="E3231" i="1"/>
  <c r="F3230" i="1"/>
  <c r="E3230" i="1"/>
  <c r="F3229" i="1"/>
  <c r="E3229" i="1"/>
  <c r="F3228" i="1"/>
  <c r="E3228" i="1"/>
  <c r="F3227" i="1"/>
  <c r="E3227" i="1"/>
  <c r="F3226" i="1"/>
  <c r="E3226" i="1"/>
  <c r="F3225" i="1"/>
  <c r="E3225" i="1"/>
  <c r="F3224" i="1"/>
  <c r="E3224" i="1"/>
  <c r="F3223" i="1"/>
  <c r="E3223" i="1"/>
  <c r="F3222" i="1"/>
  <c r="E3222" i="1"/>
  <c r="F3221" i="1"/>
  <c r="E3221" i="1"/>
  <c r="F3220" i="1"/>
  <c r="E3220" i="1"/>
  <c r="F3219" i="1"/>
  <c r="E3219" i="1"/>
  <c r="F3218" i="1"/>
  <c r="E3218" i="1"/>
  <c r="F3217" i="1"/>
  <c r="E3217" i="1"/>
  <c r="F3216" i="1"/>
  <c r="E3216" i="1"/>
  <c r="F3215" i="1"/>
  <c r="E3215" i="1"/>
  <c r="F3214" i="1"/>
  <c r="E3214" i="1"/>
  <c r="F3213" i="1"/>
  <c r="E3213" i="1"/>
  <c r="F3212" i="1"/>
  <c r="E3212" i="1"/>
  <c r="F3211" i="1"/>
  <c r="E3211" i="1"/>
  <c r="F3210" i="1"/>
  <c r="E3210" i="1"/>
  <c r="F3209" i="1"/>
  <c r="E3209" i="1"/>
  <c r="F3208" i="1"/>
  <c r="E3208" i="1"/>
  <c r="F3207" i="1"/>
  <c r="E3207" i="1"/>
  <c r="F3206" i="1"/>
  <c r="E3206" i="1"/>
  <c r="F3205" i="1"/>
  <c r="E3205" i="1"/>
  <c r="F3204" i="1"/>
  <c r="E3204" i="1"/>
  <c r="F3203" i="1"/>
  <c r="E3203" i="1"/>
  <c r="F3202" i="1"/>
  <c r="E3202" i="1"/>
  <c r="F3201" i="1"/>
  <c r="E3201" i="1"/>
  <c r="F3200" i="1"/>
  <c r="E3200" i="1"/>
  <c r="F3199" i="1"/>
  <c r="E3199" i="1"/>
  <c r="F3198" i="1"/>
  <c r="E3198" i="1"/>
  <c r="F3197" i="1"/>
  <c r="E3197" i="1"/>
  <c r="F3196" i="1"/>
  <c r="E3196" i="1"/>
  <c r="F3195" i="1"/>
  <c r="E3195" i="1"/>
  <c r="F3194" i="1"/>
  <c r="E3194" i="1"/>
  <c r="F3193" i="1"/>
  <c r="E3193" i="1"/>
  <c r="F3192" i="1"/>
  <c r="E3192" i="1"/>
  <c r="F3191" i="1"/>
  <c r="E3191" i="1"/>
  <c r="F3190" i="1"/>
  <c r="E3190" i="1"/>
  <c r="F3189" i="1"/>
  <c r="E3189" i="1"/>
  <c r="F3188" i="1"/>
  <c r="E3188" i="1"/>
  <c r="F3187" i="1"/>
  <c r="E3187" i="1"/>
  <c r="F3186" i="1"/>
  <c r="E3186" i="1"/>
  <c r="F3185" i="1"/>
  <c r="E3185" i="1"/>
  <c r="F3184" i="1"/>
  <c r="E3184" i="1"/>
  <c r="F3183" i="1"/>
  <c r="E3183" i="1"/>
  <c r="F3182" i="1"/>
  <c r="E3182" i="1"/>
  <c r="F3181" i="1"/>
  <c r="E3181" i="1"/>
  <c r="F3180" i="1"/>
  <c r="E3180" i="1"/>
  <c r="F3179" i="1"/>
  <c r="E3179" i="1"/>
  <c r="F3178" i="1"/>
  <c r="E3178" i="1"/>
  <c r="F3177" i="1"/>
  <c r="E3177" i="1"/>
  <c r="F3176" i="1"/>
  <c r="E3176" i="1"/>
  <c r="F3175" i="1"/>
  <c r="E3175" i="1"/>
  <c r="F3174" i="1"/>
  <c r="E3174" i="1"/>
  <c r="F3173" i="1"/>
  <c r="E3173" i="1"/>
  <c r="F3172" i="1"/>
  <c r="E3172" i="1"/>
  <c r="F3171" i="1"/>
  <c r="E3171" i="1"/>
  <c r="F3170" i="1"/>
  <c r="E3170" i="1"/>
  <c r="F3169" i="1"/>
  <c r="E3169" i="1"/>
  <c r="F3168" i="1"/>
  <c r="E3168" i="1"/>
  <c r="F3167" i="1"/>
  <c r="E3167" i="1"/>
  <c r="F3166" i="1"/>
  <c r="E3166" i="1"/>
  <c r="F3165" i="1"/>
  <c r="E3165" i="1"/>
  <c r="F3164" i="1"/>
  <c r="E3164" i="1"/>
  <c r="F3163" i="1"/>
  <c r="E3163" i="1"/>
  <c r="F3162" i="1"/>
  <c r="E3162" i="1"/>
  <c r="F3161" i="1"/>
  <c r="E3161" i="1"/>
  <c r="F3160" i="1"/>
  <c r="E3160" i="1"/>
  <c r="F3159" i="1"/>
  <c r="E3159" i="1"/>
  <c r="F3158" i="1"/>
  <c r="E3158" i="1"/>
  <c r="F3157" i="1"/>
  <c r="E3157" i="1"/>
  <c r="F3156" i="1"/>
  <c r="E3156" i="1"/>
  <c r="F3155" i="1"/>
  <c r="E3155" i="1"/>
  <c r="F3154" i="1"/>
  <c r="E3154" i="1"/>
  <c r="F3153" i="1"/>
  <c r="E3153" i="1"/>
  <c r="F3152" i="1"/>
  <c r="E3152" i="1"/>
  <c r="F3151" i="1"/>
  <c r="E3151" i="1"/>
  <c r="F3150" i="1"/>
  <c r="E3150" i="1"/>
  <c r="F3149" i="1"/>
  <c r="E3149" i="1"/>
  <c r="F3148" i="1"/>
  <c r="E3148" i="1"/>
  <c r="F3147" i="1"/>
  <c r="E3147" i="1"/>
  <c r="F3146" i="1"/>
  <c r="E3146" i="1"/>
  <c r="F3145" i="1"/>
  <c r="E3145" i="1"/>
  <c r="F3144" i="1"/>
  <c r="E3144" i="1"/>
  <c r="F3143" i="1"/>
  <c r="E3143" i="1"/>
  <c r="F3142" i="1"/>
  <c r="E3142" i="1"/>
  <c r="F3141" i="1"/>
  <c r="E3141" i="1"/>
  <c r="F3140" i="1"/>
  <c r="E3140" i="1"/>
  <c r="F3139" i="1"/>
  <c r="E3139" i="1"/>
  <c r="F3138" i="1"/>
  <c r="E3138" i="1"/>
  <c r="F3137" i="1"/>
  <c r="E3137" i="1"/>
  <c r="F3136" i="1"/>
  <c r="E3136" i="1"/>
  <c r="F3135" i="1"/>
  <c r="E3135" i="1"/>
  <c r="F3134" i="1"/>
  <c r="E3134" i="1"/>
  <c r="F3133" i="1"/>
  <c r="E3133" i="1"/>
  <c r="F3132" i="1"/>
  <c r="E3132" i="1"/>
  <c r="F3131" i="1"/>
  <c r="E3131" i="1"/>
  <c r="F3130" i="1"/>
  <c r="E3130" i="1"/>
  <c r="F3129" i="1"/>
  <c r="E3129" i="1"/>
  <c r="F3128" i="1"/>
  <c r="E3128" i="1"/>
  <c r="F3127" i="1"/>
  <c r="E3127" i="1"/>
  <c r="F3126" i="1"/>
  <c r="E3126" i="1"/>
  <c r="F3125" i="1"/>
  <c r="E3125" i="1"/>
  <c r="F3124" i="1"/>
  <c r="E3124" i="1"/>
  <c r="F3123" i="1"/>
  <c r="E3123" i="1"/>
  <c r="F3122" i="1"/>
  <c r="E3122" i="1"/>
  <c r="F3121" i="1"/>
  <c r="E3121" i="1"/>
  <c r="F3120" i="1"/>
  <c r="E3120" i="1"/>
  <c r="F3119" i="1"/>
  <c r="E3119" i="1"/>
  <c r="F3118" i="1"/>
  <c r="E3118" i="1"/>
  <c r="F3117" i="1"/>
  <c r="E3117" i="1"/>
  <c r="F3116" i="1"/>
  <c r="E3116" i="1"/>
  <c r="F3115" i="1"/>
  <c r="E3115" i="1"/>
  <c r="F3114" i="1"/>
  <c r="E3114" i="1"/>
  <c r="F3113" i="1"/>
  <c r="E3113" i="1"/>
  <c r="F3112" i="1"/>
  <c r="E3112" i="1"/>
  <c r="F3111" i="1"/>
  <c r="E3111" i="1"/>
  <c r="F3110" i="1"/>
  <c r="E3110" i="1"/>
  <c r="F3109" i="1"/>
  <c r="E3109" i="1"/>
  <c r="F3108" i="1"/>
  <c r="E3108" i="1"/>
  <c r="F3107" i="1"/>
  <c r="E3107" i="1"/>
  <c r="F3106" i="1"/>
  <c r="E3106" i="1"/>
  <c r="F3105" i="1"/>
  <c r="E3105" i="1"/>
  <c r="F3104" i="1"/>
  <c r="E3104" i="1"/>
  <c r="F3103" i="1"/>
  <c r="E3103" i="1"/>
  <c r="F3102" i="1"/>
  <c r="E3102" i="1"/>
  <c r="F3101" i="1"/>
  <c r="E3101" i="1"/>
  <c r="F3100" i="1"/>
  <c r="E3100" i="1"/>
  <c r="F3099" i="1"/>
  <c r="E3099" i="1"/>
  <c r="F3098" i="1"/>
  <c r="E3098" i="1"/>
  <c r="F3097" i="1"/>
  <c r="E3097" i="1"/>
  <c r="F3096" i="1"/>
  <c r="E3096" i="1"/>
  <c r="F3095" i="1"/>
  <c r="E3095" i="1"/>
  <c r="F3094" i="1"/>
  <c r="E3094" i="1"/>
  <c r="F3093" i="1"/>
  <c r="E3093" i="1"/>
  <c r="F3092" i="1"/>
  <c r="E3092" i="1"/>
  <c r="F3091" i="1"/>
  <c r="E3091" i="1"/>
  <c r="F3090" i="1"/>
  <c r="E3090" i="1"/>
  <c r="F3089" i="1"/>
  <c r="E3089" i="1"/>
  <c r="F3088" i="1"/>
  <c r="E3088" i="1"/>
  <c r="F3087" i="1"/>
  <c r="E3087" i="1"/>
  <c r="F3086" i="1"/>
  <c r="E3086" i="1"/>
  <c r="F3085" i="1"/>
  <c r="E3085" i="1"/>
  <c r="F3084" i="1"/>
  <c r="E3084" i="1"/>
  <c r="F3083" i="1"/>
  <c r="E3083" i="1"/>
  <c r="F3082" i="1"/>
  <c r="E3082" i="1"/>
  <c r="F3081" i="1"/>
  <c r="E3081" i="1"/>
  <c r="F3080" i="1"/>
  <c r="E3080" i="1"/>
  <c r="F3079" i="1"/>
  <c r="E3079" i="1"/>
  <c r="F3078" i="1"/>
  <c r="E3078" i="1"/>
  <c r="F3077" i="1"/>
  <c r="E3077" i="1"/>
  <c r="F3076" i="1"/>
  <c r="E3076" i="1"/>
  <c r="F3075" i="1"/>
  <c r="E3075" i="1"/>
  <c r="F3074" i="1"/>
  <c r="E3074" i="1"/>
  <c r="F3073" i="1"/>
  <c r="E3073" i="1"/>
  <c r="F3072" i="1"/>
  <c r="E3072" i="1"/>
  <c r="F3071" i="1"/>
  <c r="E3071" i="1"/>
  <c r="F3070" i="1"/>
  <c r="E3070" i="1"/>
  <c r="F3069" i="1"/>
  <c r="E3069" i="1"/>
  <c r="F3068" i="1"/>
  <c r="E3068" i="1"/>
  <c r="F3067" i="1"/>
  <c r="E3067" i="1"/>
  <c r="F3066" i="1"/>
  <c r="E3066" i="1"/>
  <c r="F3065" i="1"/>
  <c r="E3065" i="1"/>
  <c r="F3064" i="1"/>
  <c r="E3064" i="1"/>
  <c r="F3063" i="1"/>
  <c r="E3063" i="1"/>
  <c r="F3062" i="1"/>
  <c r="E3062" i="1"/>
  <c r="F3061" i="1"/>
  <c r="E3061" i="1"/>
  <c r="F3060" i="1"/>
  <c r="E3060" i="1"/>
  <c r="F3059" i="1"/>
  <c r="E3059" i="1"/>
  <c r="F3058" i="1"/>
  <c r="E3058" i="1"/>
  <c r="F3057" i="1"/>
  <c r="E3057" i="1"/>
  <c r="F3056" i="1"/>
  <c r="E3056" i="1"/>
  <c r="F3055" i="1"/>
  <c r="E3055" i="1"/>
  <c r="F3054" i="1"/>
  <c r="E3054" i="1"/>
  <c r="F3053" i="1"/>
  <c r="E3053" i="1"/>
  <c r="F3052" i="1"/>
  <c r="E3052" i="1"/>
  <c r="F3051" i="1"/>
  <c r="E3051" i="1"/>
  <c r="F3050" i="1"/>
  <c r="E3050" i="1"/>
  <c r="F3049" i="1"/>
  <c r="E3049" i="1"/>
  <c r="F3048" i="1"/>
  <c r="E3048" i="1"/>
  <c r="F3047" i="1"/>
  <c r="E3047" i="1"/>
  <c r="F3046" i="1"/>
  <c r="E3046" i="1"/>
  <c r="F3045" i="1"/>
  <c r="E3045" i="1"/>
  <c r="F3044" i="1"/>
  <c r="E3044" i="1"/>
  <c r="F3043" i="1"/>
  <c r="E3043" i="1"/>
  <c r="F3042" i="1"/>
  <c r="E3042" i="1"/>
  <c r="F3041" i="1"/>
  <c r="E3041" i="1"/>
  <c r="F3040" i="1"/>
  <c r="E3040" i="1"/>
  <c r="F3039" i="1"/>
  <c r="E3039" i="1"/>
  <c r="F3038" i="1"/>
  <c r="E3038" i="1"/>
  <c r="F3037" i="1"/>
  <c r="E3037" i="1"/>
  <c r="F3036" i="1"/>
  <c r="E3036" i="1"/>
  <c r="F3035" i="1"/>
  <c r="E3035" i="1"/>
  <c r="F3034" i="1"/>
  <c r="E3034" i="1"/>
  <c r="F3033" i="1"/>
  <c r="E3033" i="1"/>
  <c r="F3032" i="1"/>
  <c r="E3032" i="1"/>
  <c r="F3031" i="1"/>
  <c r="E3031" i="1"/>
  <c r="F3030" i="1"/>
  <c r="E3030" i="1"/>
  <c r="F3029" i="1"/>
  <c r="E3029" i="1"/>
  <c r="F3028" i="1"/>
  <c r="E3028" i="1"/>
  <c r="F3027" i="1"/>
  <c r="E3027" i="1"/>
  <c r="F3026" i="1"/>
  <c r="E3026" i="1"/>
  <c r="F3025" i="1"/>
  <c r="E3025" i="1"/>
  <c r="F3024" i="1"/>
  <c r="E3024" i="1"/>
  <c r="F3023" i="1"/>
  <c r="E3023" i="1"/>
  <c r="F3022" i="1"/>
  <c r="E3022" i="1"/>
  <c r="F3021" i="1"/>
  <c r="E3021" i="1"/>
  <c r="F3020" i="1"/>
  <c r="E3020" i="1"/>
  <c r="F3019" i="1"/>
  <c r="E3019" i="1"/>
  <c r="F3018" i="1"/>
  <c r="E3018" i="1"/>
  <c r="F3017" i="1"/>
  <c r="E3017" i="1"/>
  <c r="F3016" i="1"/>
  <c r="E3016" i="1"/>
  <c r="F3015" i="1"/>
  <c r="E3015" i="1"/>
  <c r="F3014" i="1"/>
  <c r="E3014" i="1"/>
  <c r="F3013" i="1"/>
  <c r="E3013" i="1"/>
  <c r="F3012" i="1"/>
  <c r="E3012" i="1"/>
  <c r="F3011" i="1"/>
  <c r="E3011" i="1"/>
  <c r="F3010" i="1"/>
  <c r="E3010" i="1"/>
  <c r="F3009" i="1"/>
  <c r="E3009" i="1"/>
  <c r="F3008" i="1"/>
  <c r="E3008" i="1"/>
  <c r="F3007" i="1"/>
  <c r="E3007" i="1"/>
  <c r="F3006" i="1"/>
  <c r="E3006" i="1"/>
  <c r="F3005" i="1"/>
  <c r="E3005" i="1"/>
  <c r="F3004" i="1"/>
  <c r="E3004" i="1"/>
  <c r="F3003" i="1"/>
  <c r="E3003" i="1"/>
  <c r="F3002" i="1"/>
  <c r="E3002" i="1"/>
  <c r="F3001" i="1"/>
  <c r="E3001" i="1"/>
  <c r="F3000" i="1"/>
  <c r="E3000" i="1"/>
  <c r="F2999" i="1"/>
  <c r="E2999" i="1"/>
  <c r="F2998" i="1"/>
  <c r="E2998" i="1"/>
  <c r="F2997" i="1"/>
  <c r="E2997" i="1"/>
  <c r="F2996" i="1"/>
  <c r="E2996" i="1"/>
  <c r="F2995" i="1"/>
  <c r="E2995" i="1"/>
  <c r="F2994" i="1"/>
  <c r="E2994" i="1"/>
  <c r="F2993" i="1"/>
  <c r="E2993" i="1"/>
  <c r="F2992" i="1"/>
  <c r="E2992" i="1"/>
  <c r="F2991" i="1"/>
  <c r="E2991" i="1"/>
  <c r="F2990" i="1"/>
  <c r="E2990" i="1"/>
  <c r="F2989" i="1"/>
  <c r="E2989" i="1"/>
  <c r="F2988" i="1"/>
  <c r="E2988" i="1"/>
  <c r="F2987" i="1"/>
  <c r="E2987" i="1"/>
  <c r="F2986" i="1"/>
  <c r="E2986" i="1"/>
  <c r="F2985" i="1"/>
  <c r="E2985" i="1"/>
  <c r="F2984" i="1"/>
  <c r="E2984" i="1"/>
  <c r="F2983" i="1"/>
  <c r="E2983" i="1"/>
  <c r="F2982" i="1"/>
  <c r="E2982" i="1"/>
  <c r="F2981" i="1"/>
  <c r="E2981" i="1"/>
  <c r="F2980" i="1"/>
  <c r="E2980" i="1"/>
  <c r="F2979" i="1"/>
  <c r="E2979" i="1"/>
  <c r="F2978" i="1"/>
  <c r="E2978" i="1"/>
  <c r="F2977" i="1"/>
  <c r="E2977" i="1"/>
  <c r="F2976" i="1"/>
  <c r="E2976" i="1"/>
  <c r="F2975" i="1"/>
  <c r="E2975" i="1"/>
  <c r="F2974" i="1"/>
  <c r="E2974" i="1"/>
  <c r="F2973" i="1"/>
  <c r="E2973" i="1"/>
  <c r="F2972" i="1"/>
  <c r="E2972" i="1"/>
  <c r="F2971" i="1"/>
  <c r="E2971" i="1"/>
  <c r="F2970" i="1"/>
  <c r="E2970" i="1"/>
  <c r="F2969" i="1"/>
  <c r="E2969" i="1"/>
  <c r="F2968" i="1"/>
  <c r="E2968" i="1"/>
  <c r="F2967" i="1"/>
  <c r="E2967" i="1"/>
  <c r="F2966" i="1"/>
  <c r="E2966" i="1"/>
  <c r="F2965" i="1"/>
  <c r="E2965" i="1"/>
  <c r="F2964" i="1"/>
  <c r="E2964" i="1"/>
  <c r="F2963" i="1"/>
  <c r="E2963" i="1"/>
  <c r="F2962" i="1"/>
  <c r="E2962" i="1"/>
  <c r="F2961" i="1"/>
  <c r="E2961" i="1"/>
  <c r="F2960" i="1"/>
  <c r="E2960" i="1"/>
  <c r="F2959" i="1"/>
  <c r="E2959" i="1"/>
  <c r="F2958" i="1"/>
  <c r="E2958" i="1"/>
  <c r="F2957" i="1"/>
  <c r="E2957" i="1"/>
  <c r="F2956" i="1"/>
  <c r="E2956" i="1"/>
  <c r="F2955" i="1"/>
  <c r="E2955" i="1"/>
  <c r="F2954" i="1"/>
  <c r="E2954" i="1"/>
  <c r="F2953" i="1"/>
  <c r="E2953" i="1"/>
  <c r="F2952" i="1"/>
  <c r="E2952" i="1"/>
  <c r="F2951" i="1"/>
  <c r="E2951" i="1"/>
  <c r="F2950" i="1"/>
  <c r="E2950" i="1"/>
  <c r="F2949" i="1"/>
  <c r="E2949" i="1"/>
  <c r="F2948" i="1"/>
  <c r="E2948" i="1"/>
  <c r="F2947" i="1"/>
  <c r="E2947" i="1"/>
  <c r="F2946" i="1"/>
  <c r="E2946" i="1"/>
  <c r="F2945" i="1"/>
  <c r="E2945" i="1"/>
  <c r="F2944" i="1"/>
  <c r="E2944" i="1"/>
  <c r="F2943" i="1"/>
  <c r="E2943" i="1"/>
  <c r="F2942" i="1"/>
  <c r="E2942" i="1"/>
  <c r="F2941" i="1"/>
  <c r="E2941" i="1"/>
  <c r="F2940" i="1"/>
  <c r="E2940" i="1"/>
  <c r="F2939" i="1"/>
  <c r="E2939" i="1"/>
  <c r="F2938" i="1"/>
  <c r="E2938" i="1"/>
  <c r="F2937" i="1"/>
  <c r="E2937" i="1"/>
  <c r="F2936" i="1"/>
  <c r="E2936" i="1"/>
  <c r="F2935" i="1"/>
  <c r="E2935" i="1"/>
  <c r="F2934" i="1"/>
  <c r="E2934" i="1"/>
  <c r="F2933" i="1"/>
  <c r="E2933" i="1"/>
  <c r="F2932" i="1"/>
  <c r="E2932" i="1"/>
  <c r="F2931" i="1"/>
  <c r="E2931" i="1"/>
  <c r="F2930" i="1"/>
  <c r="E2930" i="1"/>
  <c r="F2929" i="1"/>
  <c r="E2929" i="1"/>
  <c r="F2928" i="1"/>
  <c r="E2928" i="1"/>
  <c r="F2927" i="1"/>
  <c r="E2927" i="1"/>
  <c r="F2926" i="1"/>
  <c r="E2926" i="1"/>
  <c r="F2925" i="1"/>
  <c r="E2925" i="1"/>
  <c r="F2924" i="1"/>
  <c r="E2924" i="1"/>
  <c r="F2923" i="1"/>
  <c r="E2923" i="1"/>
  <c r="F2922" i="1"/>
  <c r="E2922" i="1"/>
  <c r="F2921" i="1"/>
  <c r="E2921" i="1"/>
  <c r="F2920" i="1"/>
  <c r="E2920" i="1"/>
  <c r="F2919" i="1"/>
  <c r="E2919" i="1"/>
  <c r="F2918" i="1"/>
  <c r="E2918" i="1"/>
  <c r="F2917" i="1"/>
  <c r="E2917" i="1"/>
  <c r="F2916" i="1"/>
  <c r="E2916" i="1"/>
  <c r="F2915" i="1"/>
  <c r="E2915" i="1"/>
  <c r="F2914" i="1"/>
  <c r="E2914" i="1"/>
  <c r="F2913" i="1"/>
  <c r="E2913" i="1"/>
  <c r="F2912" i="1"/>
  <c r="E2912" i="1"/>
  <c r="F2911" i="1"/>
  <c r="E2911" i="1"/>
  <c r="F2910" i="1"/>
  <c r="E2910" i="1"/>
  <c r="F2909" i="1"/>
  <c r="E2909" i="1"/>
  <c r="F2908" i="1"/>
  <c r="E2908" i="1"/>
  <c r="F2907" i="1"/>
  <c r="E2907" i="1"/>
  <c r="F2906" i="1"/>
  <c r="E2906" i="1"/>
  <c r="F2905" i="1"/>
  <c r="E2905" i="1"/>
  <c r="F2904" i="1"/>
  <c r="E2904" i="1"/>
  <c r="F2903" i="1"/>
  <c r="E2903" i="1"/>
  <c r="F2902" i="1"/>
  <c r="E2902" i="1"/>
  <c r="F2901" i="1"/>
  <c r="E2901" i="1"/>
  <c r="F2900" i="1"/>
  <c r="E2900" i="1"/>
  <c r="F2899" i="1"/>
  <c r="E2899" i="1"/>
  <c r="F2898" i="1"/>
  <c r="E2898" i="1"/>
  <c r="F2897" i="1"/>
  <c r="E2897" i="1"/>
  <c r="F2896" i="1"/>
  <c r="E2896" i="1"/>
  <c r="F2895" i="1"/>
  <c r="E2895" i="1"/>
  <c r="F2894" i="1"/>
  <c r="E2894" i="1"/>
  <c r="F2893" i="1"/>
  <c r="E2893" i="1"/>
  <c r="F2892" i="1"/>
  <c r="E2892" i="1"/>
  <c r="F2891" i="1"/>
  <c r="E2891" i="1"/>
  <c r="F2890" i="1"/>
  <c r="E2890" i="1"/>
  <c r="F2889" i="1"/>
  <c r="E2889" i="1"/>
  <c r="F2888" i="1"/>
  <c r="E2888" i="1"/>
  <c r="F2887" i="1"/>
  <c r="E2887" i="1"/>
  <c r="F2886" i="1"/>
  <c r="E2886" i="1"/>
  <c r="F2885" i="1"/>
  <c r="E2885" i="1"/>
  <c r="F2884" i="1"/>
  <c r="E2884" i="1"/>
  <c r="F2883" i="1"/>
  <c r="E2883" i="1"/>
  <c r="F2882" i="1"/>
  <c r="E2882" i="1"/>
  <c r="F2881" i="1"/>
  <c r="E2881" i="1"/>
  <c r="F2880" i="1"/>
  <c r="E2880" i="1"/>
  <c r="F2879" i="1"/>
  <c r="E2879" i="1"/>
  <c r="F2878" i="1"/>
  <c r="E2878" i="1"/>
  <c r="F2877" i="1"/>
  <c r="E2877" i="1"/>
  <c r="F2876" i="1"/>
  <c r="E2876" i="1"/>
  <c r="F2875" i="1"/>
  <c r="E2875" i="1"/>
  <c r="F2874" i="1"/>
  <c r="E2874" i="1"/>
  <c r="F2873" i="1"/>
  <c r="E2873" i="1"/>
  <c r="F2872" i="1"/>
  <c r="E2872" i="1"/>
  <c r="F2871" i="1"/>
  <c r="E2871" i="1"/>
  <c r="F2870" i="1"/>
  <c r="E2870" i="1"/>
  <c r="F2869" i="1"/>
  <c r="E2869" i="1"/>
  <c r="F2868" i="1"/>
  <c r="E2868" i="1"/>
  <c r="F2867" i="1"/>
  <c r="E2867" i="1"/>
  <c r="F2866" i="1"/>
  <c r="E2866" i="1"/>
  <c r="F2865" i="1"/>
  <c r="E2865" i="1"/>
  <c r="F2864" i="1"/>
  <c r="E2864" i="1"/>
  <c r="F2863" i="1"/>
  <c r="E2863" i="1"/>
  <c r="F2862" i="1"/>
  <c r="E2862" i="1"/>
  <c r="F2861" i="1"/>
  <c r="E2861" i="1"/>
  <c r="F2860" i="1"/>
  <c r="E2860" i="1"/>
  <c r="F2859" i="1"/>
  <c r="E2859" i="1"/>
  <c r="F2858" i="1"/>
  <c r="E2858" i="1"/>
  <c r="F2857" i="1"/>
  <c r="E2857" i="1"/>
  <c r="F2856" i="1"/>
  <c r="E2856" i="1"/>
  <c r="F2855" i="1"/>
  <c r="E2855" i="1"/>
  <c r="F2854" i="1"/>
  <c r="E2854" i="1"/>
  <c r="F2853" i="1"/>
  <c r="E2853" i="1"/>
  <c r="F2852" i="1"/>
  <c r="E2852" i="1"/>
  <c r="F2851" i="1"/>
  <c r="E2851" i="1"/>
  <c r="F2850" i="1"/>
  <c r="E2850" i="1"/>
  <c r="F2849" i="1"/>
  <c r="E2849" i="1"/>
  <c r="F2848" i="1"/>
  <c r="E2848" i="1"/>
  <c r="F2847" i="1"/>
  <c r="E2847" i="1"/>
  <c r="F2846" i="1"/>
  <c r="E2846" i="1"/>
  <c r="F2845" i="1"/>
  <c r="E2845" i="1"/>
  <c r="F2844" i="1"/>
  <c r="E2844" i="1"/>
  <c r="F2843" i="1"/>
  <c r="E2843" i="1"/>
  <c r="F2842" i="1"/>
  <c r="E2842" i="1"/>
  <c r="F2841" i="1"/>
  <c r="E2841" i="1"/>
  <c r="F2840" i="1"/>
  <c r="E2840" i="1"/>
  <c r="F2839" i="1"/>
  <c r="E2839" i="1"/>
  <c r="F2838" i="1"/>
  <c r="E2838" i="1"/>
  <c r="F2837" i="1"/>
  <c r="E2837" i="1"/>
  <c r="F2836" i="1"/>
  <c r="E2836" i="1"/>
  <c r="F2835" i="1"/>
  <c r="E2835" i="1"/>
  <c r="F2834" i="1"/>
  <c r="E2834" i="1"/>
  <c r="F2833" i="1"/>
  <c r="E2833" i="1"/>
  <c r="F2832" i="1"/>
  <c r="E2832" i="1"/>
  <c r="F2831" i="1"/>
  <c r="E2831" i="1"/>
  <c r="F2830" i="1"/>
  <c r="E2830" i="1"/>
  <c r="F2829" i="1"/>
  <c r="E2829" i="1"/>
  <c r="F2828" i="1"/>
  <c r="E2828" i="1"/>
  <c r="F2827" i="1"/>
  <c r="E2827" i="1"/>
  <c r="F2826" i="1"/>
  <c r="E2826" i="1"/>
  <c r="F2825" i="1"/>
  <c r="E2825" i="1"/>
  <c r="F2824" i="1"/>
  <c r="E2824" i="1"/>
  <c r="F2823" i="1"/>
  <c r="E2823" i="1"/>
  <c r="F2822" i="1"/>
  <c r="E2822" i="1"/>
  <c r="F2821" i="1"/>
  <c r="E2821" i="1"/>
  <c r="F2820" i="1"/>
  <c r="E2820" i="1"/>
  <c r="F2819" i="1"/>
  <c r="E2819" i="1"/>
  <c r="F2818" i="1"/>
  <c r="E2818" i="1"/>
  <c r="F2817" i="1"/>
  <c r="E2817" i="1"/>
  <c r="F2816" i="1"/>
  <c r="E2816" i="1"/>
  <c r="F2815" i="1"/>
  <c r="E2815" i="1"/>
  <c r="F2814" i="1"/>
  <c r="E2814" i="1"/>
  <c r="F2813" i="1"/>
  <c r="E2813" i="1"/>
  <c r="F2812" i="1"/>
  <c r="E2812" i="1"/>
  <c r="F2811" i="1"/>
  <c r="E2811" i="1"/>
  <c r="F2810" i="1"/>
  <c r="E2810" i="1"/>
  <c r="F2809" i="1"/>
  <c r="E2809" i="1"/>
  <c r="F2808" i="1"/>
  <c r="E2808" i="1"/>
  <c r="F2807" i="1"/>
  <c r="E2807" i="1"/>
  <c r="F2806" i="1"/>
  <c r="E2806" i="1"/>
  <c r="F2805" i="1"/>
  <c r="E2805" i="1"/>
  <c r="F2804" i="1"/>
  <c r="E2804" i="1"/>
  <c r="F2803" i="1"/>
  <c r="E2803" i="1"/>
  <c r="F2802" i="1"/>
  <c r="E2802" i="1"/>
  <c r="F2801" i="1"/>
  <c r="E2801" i="1"/>
  <c r="F2800" i="1"/>
  <c r="E2800" i="1"/>
  <c r="F2799" i="1"/>
  <c r="E2799" i="1"/>
  <c r="F2798" i="1"/>
  <c r="E2798" i="1"/>
  <c r="F2797" i="1"/>
  <c r="E2797" i="1"/>
  <c r="F2796" i="1"/>
  <c r="E2796" i="1"/>
  <c r="F2795" i="1"/>
  <c r="E2795" i="1"/>
  <c r="F2794" i="1"/>
  <c r="E2794" i="1"/>
  <c r="F2793" i="1"/>
  <c r="E2793" i="1"/>
  <c r="F2792" i="1"/>
  <c r="E2792" i="1"/>
  <c r="F2791" i="1"/>
  <c r="E2791" i="1"/>
  <c r="F2790" i="1"/>
  <c r="E2790" i="1"/>
  <c r="F2789" i="1"/>
  <c r="E2789" i="1"/>
  <c r="F2788" i="1"/>
  <c r="E2788" i="1"/>
  <c r="F2787" i="1"/>
  <c r="E2787" i="1"/>
  <c r="F2786" i="1"/>
  <c r="E2786" i="1"/>
  <c r="F2785" i="1"/>
  <c r="E2785" i="1"/>
  <c r="F2784" i="1"/>
  <c r="E2784" i="1"/>
  <c r="F2783" i="1"/>
  <c r="E2783" i="1"/>
  <c r="F2782" i="1"/>
  <c r="E2782" i="1"/>
  <c r="F2781" i="1"/>
  <c r="E2781" i="1"/>
  <c r="F2780" i="1"/>
  <c r="E2780" i="1"/>
  <c r="F2779" i="1"/>
  <c r="E2779" i="1"/>
  <c r="F2778" i="1"/>
  <c r="E2778" i="1"/>
  <c r="F2777" i="1"/>
  <c r="E2777" i="1"/>
  <c r="F2776" i="1"/>
  <c r="E2776" i="1"/>
  <c r="F2775" i="1"/>
  <c r="E2775" i="1"/>
  <c r="F2774" i="1"/>
  <c r="E2774" i="1"/>
  <c r="F2773" i="1"/>
  <c r="E2773" i="1"/>
  <c r="F2772" i="1"/>
  <c r="E2772" i="1"/>
  <c r="F2771" i="1"/>
  <c r="E2771" i="1"/>
  <c r="F2770" i="1"/>
  <c r="E2770" i="1"/>
  <c r="F2769" i="1"/>
  <c r="E2769" i="1"/>
  <c r="F2768" i="1"/>
  <c r="E2768" i="1"/>
  <c r="F2767" i="1"/>
  <c r="E2767" i="1"/>
  <c r="F2766" i="1"/>
  <c r="E2766" i="1"/>
  <c r="F2765" i="1"/>
  <c r="E2765" i="1"/>
  <c r="F2764" i="1"/>
  <c r="E2764" i="1"/>
  <c r="F2763" i="1"/>
  <c r="E2763" i="1"/>
  <c r="F2762" i="1"/>
  <c r="E2762" i="1"/>
  <c r="F2761" i="1"/>
  <c r="E2761" i="1"/>
  <c r="F2760" i="1"/>
  <c r="E2760" i="1"/>
  <c r="F2759" i="1"/>
  <c r="E2759" i="1"/>
  <c r="F2758" i="1"/>
  <c r="E2758" i="1"/>
  <c r="F2757" i="1"/>
  <c r="E2757" i="1"/>
  <c r="F2756" i="1"/>
  <c r="E2756" i="1"/>
  <c r="F2755" i="1"/>
  <c r="E2755" i="1"/>
  <c r="F2754" i="1"/>
  <c r="E2754" i="1"/>
  <c r="F2753" i="1"/>
  <c r="E2753" i="1"/>
  <c r="F2752" i="1"/>
  <c r="E2752" i="1"/>
  <c r="F2751" i="1"/>
  <c r="E2751" i="1"/>
  <c r="F2750" i="1"/>
  <c r="E2750" i="1"/>
  <c r="F2749" i="1"/>
  <c r="E2749" i="1"/>
  <c r="F2748" i="1"/>
  <c r="E2748" i="1"/>
  <c r="F2747" i="1"/>
  <c r="E2747" i="1"/>
  <c r="F2746" i="1"/>
  <c r="E2746" i="1"/>
  <c r="F2745" i="1"/>
  <c r="E2745" i="1"/>
  <c r="F2744" i="1"/>
  <c r="E2744" i="1"/>
  <c r="F2743" i="1"/>
  <c r="E2743" i="1"/>
  <c r="F2742" i="1"/>
  <c r="E2742" i="1"/>
  <c r="F2741" i="1"/>
  <c r="E2741" i="1"/>
  <c r="F2740" i="1"/>
  <c r="E2740" i="1"/>
  <c r="F2739" i="1"/>
  <c r="E2739" i="1"/>
  <c r="F2738" i="1"/>
  <c r="E2738" i="1"/>
  <c r="F2737" i="1"/>
  <c r="E2737" i="1"/>
  <c r="F2736" i="1"/>
  <c r="E2736" i="1"/>
  <c r="F2735" i="1"/>
  <c r="E2735" i="1"/>
  <c r="F2734" i="1"/>
  <c r="E2734" i="1"/>
  <c r="F2733" i="1"/>
  <c r="E2733" i="1"/>
  <c r="F2732" i="1"/>
  <c r="E2732" i="1"/>
  <c r="F2731" i="1"/>
  <c r="E2731" i="1"/>
  <c r="F2730" i="1"/>
  <c r="E2730" i="1"/>
  <c r="F2729" i="1"/>
  <c r="E2729" i="1"/>
  <c r="F2728" i="1"/>
  <c r="E2728" i="1"/>
  <c r="F2727" i="1"/>
  <c r="E2727" i="1"/>
  <c r="F2726" i="1"/>
  <c r="E2726" i="1"/>
  <c r="F2725" i="1"/>
  <c r="E2725" i="1"/>
  <c r="F2724" i="1"/>
  <c r="E2724" i="1"/>
  <c r="F2723" i="1"/>
  <c r="E2723" i="1"/>
  <c r="F2722" i="1"/>
  <c r="E2722" i="1"/>
  <c r="F2721" i="1"/>
  <c r="E2721" i="1"/>
  <c r="F2720" i="1"/>
  <c r="E2720" i="1"/>
  <c r="F2719" i="1"/>
  <c r="E2719" i="1"/>
  <c r="F2718" i="1"/>
  <c r="E2718" i="1"/>
  <c r="F2717" i="1"/>
  <c r="E2717" i="1"/>
  <c r="F2716" i="1"/>
  <c r="E2716" i="1"/>
  <c r="F2715" i="1"/>
  <c r="E2715" i="1"/>
  <c r="F2714" i="1"/>
  <c r="E2714" i="1"/>
  <c r="F2713" i="1"/>
  <c r="E2713" i="1"/>
  <c r="F2712" i="1"/>
  <c r="E2712" i="1"/>
  <c r="F2711" i="1"/>
  <c r="E2711" i="1"/>
  <c r="F2710" i="1"/>
  <c r="E2710" i="1"/>
  <c r="F2709" i="1"/>
  <c r="E2709" i="1"/>
  <c r="F2708" i="1"/>
  <c r="E2708" i="1"/>
  <c r="F2707" i="1"/>
  <c r="E2707" i="1"/>
  <c r="F2706" i="1"/>
  <c r="E2706" i="1"/>
  <c r="F2705" i="1"/>
  <c r="E2705" i="1"/>
  <c r="F2704" i="1"/>
  <c r="E2704" i="1"/>
  <c r="F2703" i="1"/>
  <c r="E2703" i="1"/>
  <c r="F2702" i="1"/>
  <c r="E2702" i="1"/>
  <c r="F2701" i="1"/>
  <c r="E2701" i="1"/>
  <c r="F2700" i="1"/>
  <c r="E2700" i="1"/>
  <c r="F2699" i="1"/>
  <c r="E2699" i="1"/>
  <c r="F2698" i="1"/>
  <c r="E2698" i="1"/>
  <c r="F2697" i="1"/>
  <c r="E2697" i="1"/>
  <c r="F2696" i="1"/>
  <c r="E2696" i="1"/>
  <c r="F2695" i="1"/>
  <c r="E2695" i="1"/>
  <c r="F2694" i="1"/>
  <c r="E2694" i="1"/>
  <c r="F2693" i="1"/>
  <c r="E2693" i="1"/>
  <c r="F2692" i="1"/>
  <c r="E2692" i="1"/>
  <c r="F2691" i="1"/>
  <c r="E2691" i="1"/>
  <c r="F2690" i="1"/>
  <c r="E2690" i="1"/>
  <c r="F2689" i="1"/>
  <c r="E2689" i="1"/>
  <c r="F2688" i="1"/>
  <c r="E2688" i="1"/>
  <c r="F2687" i="1"/>
  <c r="E2687" i="1"/>
  <c r="F2686" i="1"/>
  <c r="E2686" i="1"/>
  <c r="F2685" i="1"/>
  <c r="E2685" i="1"/>
  <c r="F2684" i="1"/>
  <c r="E2684" i="1"/>
  <c r="F2683" i="1"/>
  <c r="E2683" i="1"/>
  <c r="F2682" i="1"/>
  <c r="E2682" i="1"/>
  <c r="F2681" i="1"/>
  <c r="E2681" i="1"/>
  <c r="F2680" i="1"/>
  <c r="E2680" i="1"/>
  <c r="F2679" i="1"/>
  <c r="E2679" i="1"/>
  <c r="F2678" i="1"/>
  <c r="E2678" i="1"/>
  <c r="F2677" i="1"/>
  <c r="E2677" i="1"/>
  <c r="F2676" i="1"/>
  <c r="E2676" i="1"/>
  <c r="F2675" i="1"/>
  <c r="E2675" i="1"/>
  <c r="F2674" i="1"/>
  <c r="E2674" i="1"/>
  <c r="F2673" i="1"/>
  <c r="E2673" i="1"/>
  <c r="F2672" i="1"/>
  <c r="E2672" i="1"/>
  <c r="F2671" i="1"/>
  <c r="E2671" i="1"/>
  <c r="F2670" i="1"/>
  <c r="E2670" i="1"/>
  <c r="F2669" i="1"/>
  <c r="E2669" i="1"/>
  <c r="F2668" i="1"/>
  <c r="E2668" i="1"/>
  <c r="F2667" i="1"/>
  <c r="E2667" i="1"/>
  <c r="F2666" i="1"/>
  <c r="E2666" i="1"/>
  <c r="F2665" i="1"/>
  <c r="E2665" i="1"/>
  <c r="F2664" i="1"/>
  <c r="E2664" i="1"/>
  <c r="F2663" i="1"/>
  <c r="E2663" i="1"/>
  <c r="F2662" i="1"/>
  <c r="E2662" i="1"/>
  <c r="F2661" i="1"/>
  <c r="E2661" i="1"/>
  <c r="F2660" i="1"/>
  <c r="E2660" i="1"/>
  <c r="F2659" i="1"/>
  <c r="E2659" i="1"/>
  <c r="F2658" i="1"/>
  <c r="E2658" i="1"/>
  <c r="F2657" i="1"/>
  <c r="E2657" i="1"/>
  <c r="F2656" i="1"/>
  <c r="E2656" i="1"/>
  <c r="F2655" i="1"/>
  <c r="E2655" i="1"/>
  <c r="F2654" i="1"/>
  <c r="E2654" i="1"/>
  <c r="F2653" i="1"/>
  <c r="E2653" i="1"/>
  <c r="F2652" i="1"/>
  <c r="E2652" i="1"/>
  <c r="F2651" i="1"/>
  <c r="E2651" i="1"/>
  <c r="F2650" i="1"/>
  <c r="E2650" i="1"/>
  <c r="F2649" i="1"/>
  <c r="E2649" i="1"/>
  <c r="F2648" i="1"/>
  <c r="E2648" i="1"/>
  <c r="F2647" i="1"/>
  <c r="E2647" i="1"/>
  <c r="F2646" i="1"/>
  <c r="E2646" i="1"/>
  <c r="F2645" i="1"/>
  <c r="E2645" i="1"/>
  <c r="F2644" i="1"/>
  <c r="E2644" i="1"/>
  <c r="F2643" i="1"/>
  <c r="E2643" i="1"/>
  <c r="F2642" i="1"/>
  <c r="E2642" i="1"/>
  <c r="F2641" i="1"/>
  <c r="E2641" i="1"/>
  <c r="F2640" i="1"/>
  <c r="E2640" i="1"/>
  <c r="F2639" i="1"/>
  <c r="E2639" i="1"/>
  <c r="F2638" i="1"/>
  <c r="E2638" i="1"/>
  <c r="F2637" i="1"/>
  <c r="E2637" i="1"/>
  <c r="F2636" i="1"/>
  <c r="E2636" i="1"/>
  <c r="F2635" i="1"/>
  <c r="E2635" i="1"/>
  <c r="F2634" i="1"/>
  <c r="E2634" i="1"/>
  <c r="F2633" i="1"/>
  <c r="E2633" i="1"/>
  <c r="F2632" i="1"/>
  <c r="E2632" i="1"/>
  <c r="F2631" i="1"/>
  <c r="E2631" i="1"/>
  <c r="F2630" i="1"/>
  <c r="E2630" i="1"/>
  <c r="F2629" i="1"/>
  <c r="E2629" i="1"/>
  <c r="F2628" i="1"/>
  <c r="E2628" i="1"/>
  <c r="F2627" i="1"/>
  <c r="E2627" i="1"/>
  <c r="F2626" i="1"/>
  <c r="E2626" i="1"/>
  <c r="F2625" i="1"/>
  <c r="E2625" i="1"/>
  <c r="F2624" i="1"/>
  <c r="E2624" i="1"/>
  <c r="F2623" i="1"/>
  <c r="E2623" i="1"/>
  <c r="F2622" i="1"/>
  <c r="E2622" i="1"/>
  <c r="F2621" i="1"/>
  <c r="E2621" i="1"/>
  <c r="F2620" i="1"/>
  <c r="E2620" i="1"/>
  <c r="F2619" i="1"/>
  <c r="E2619" i="1"/>
  <c r="F2618" i="1"/>
  <c r="E2618" i="1"/>
  <c r="F2617" i="1"/>
  <c r="E2617" i="1"/>
  <c r="F2616" i="1"/>
  <c r="E2616" i="1"/>
  <c r="F2615" i="1"/>
  <c r="E2615" i="1"/>
  <c r="F2614" i="1"/>
  <c r="E2614" i="1"/>
  <c r="F2613" i="1"/>
  <c r="E2613" i="1"/>
  <c r="F2612" i="1"/>
  <c r="E2612" i="1"/>
  <c r="F2611" i="1"/>
  <c r="E2611" i="1"/>
  <c r="F2610" i="1"/>
  <c r="E2610" i="1"/>
  <c r="F2609" i="1"/>
  <c r="E2609" i="1"/>
  <c r="F2608" i="1"/>
  <c r="E2608" i="1"/>
  <c r="F2607" i="1"/>
  <c r="E2607" i="1"/>
  <c r="F2606" i="1"/>
  <c r="E2606" i="1"/>
  <c r="F2605" i="1"/>
  <c r="E2605" i="1"/>
  <c r="F2604" i="1"/>
  <c r="E2604" i="1"/>
  <c r="F2603" i="1"/>
  <c r="E2603" i="1"/>
  <c r="F2602" i="1"/>
  <c r="E2602" i="1"/>
  <c r="F2601" i="1"/>
  <c r="E2601" i="1"/>
  <c r="F2600" i="1"/>
  <c r="E2600" i="1"/>
  <c r="F2599" i="1"/>
  <c r="E2599" i="1"/>
  <c r="F2598" i="1"/>
  <c r="E2598" i="1"/>
  <c r="F2597" i="1"/>
  <c r="E2597" i="1"/>
  <c r="F2596" i="1"/>
  <c r="E2596" i="1"/>
  <c r="F2595" i="1"/>
  <c r="E2595" i="1"/>
  <c r="F2594" i="1"/>
  <c r="E2594" i="1"/>
  <c r="F2593" i="1"/>
  <c r="E2593" i="1"/>
  <c r="F2592" i="1"/>
  <c r="E2592" i="1"/>
  <c r="F2591" i="1"/>
  <c r="E2591" i="1"/>
  <c r="F2590" i="1"/>
  <c r="E2590" i="1"/>
  <c r="F2589" i="1"/>
  <c r="E2589" i="1"/>
  <c r="F2588" i="1"/>
  <c r="E2588" i="1"/>
  <c r="F2587" i="1"/>
  <c r="E2587" i="1"/>
  <c r="F2586" i="1"/>
  <c r="E2586" i="1"/>
  <c r="F2585" i="1"/>
  <c r="E2585" i="1"/>
  <c r="F2584" i="1"/>
  <c r="E2584" i="1"/>
  <c r="F2583" i="1"/>
  <c r="E2583" i="1"/>
  <c r="F2582" i="1"/>
  <c r="E2582" i="1"/>
  <c r="F2581" i="1"/>
  <c r="E2581" i="1"/>
  <c r="F2580" i="1"/>
  <c r="E2580" i="1"/>
  <c r="F2579" i="1"/>
  <c r="E2579" i="1"/>
  <c r="F2578" i="1"/>
  <c r="E2578" i="1"/>
  <c r="F2577" i="1"/>
  <c r="E2577" i="1"/>
  <c r="F2576" i="1"/>
  <c r="E2576" i="1"/>
  <c r="F2575" i="1"/>
  <c r="E2575" i="1"/>
  <c r="F2574" i="1"/>
  <c r="E2574" i="1"/>
  <c r="F2573" i="1"/>
  <c r="E2573" i="1"/>
  <c r="F2572" i="1"/>
  <c r="E2572" i="1"/>
  <c r="F2571" i="1"/>
  <c r="E2571" i="1"/>
  <c r="F2570" i="1"/>
  <c r="E2570" i="1"/>
  <c r="F2569" i="1"/>
  <c r="E2569" i="1"/>
  <c r="F2568" i="1"/>
  <c r="E2568" i="1"/>
  <c r="F2567" i="1"/>
  <c r="E2567" i="1"/>
  <c r="F2566" i="1"/>
  <c r="E2566" i="1"/>
  <c r="F2565" i="1"/>
  <c r="E2565" i="1"/>
  <c r="F2564" i="1"/>
  <c r="E2564" i="1"/>
  <c r="F2563" i="1"/>
  <c r="E2563" i="1"/>
  <c r="F2562" i="1"/>
  <c r="E2562" i="1"/>
  <c r="F2561" i="1"/>
  <c r="E2561" i="1"/>
  <c r="F2560" i="1"/>
  <c r="E2560" i="1"/>
  <c r="F2559" i="1"/>
  <c r="E2559" i="1"/>
  <c r="F2558" i="1"/>
  <c r="E2558" i="1"/>
  <c r="F2557" i="1"/>
  <c r="E2557" i="1"/>
  <c r="F2556" i="1"/>
  <c r="E2556" i="1"/>
  <c r="F2555" i="1"/>
  <c r="E2555" i="1"/>
  <c r="F2554" i="1"/>
  <c r="E2554" i="1"/>
  <c r="F2553" i="1"/>
  <c r="E2553" i="1"/>
  <c r="F2552" i="1"/>
  <c r="E2552" i="1"/>
  <c r="F2551" i="1"/>
  <c r="E2551" i="1"/>
  <c r="F2550" i="1"/>
  <c r="E2550" i="1"/>
  <c r="F2549" i="1"/>
  <c r="E2549" i="1"/>
  <c r="F2548" i="1"/>
  <c r="E2548" i="1"/>
  <c r="F2547" i="1"/>
  <c r="E2547" i="1"/>
  <c r="F2546" i="1"/>
  <c r="E2546" i="1"/>
  <c r="F2545" i="1"/>
  <c r="E2545" i="1"/>
  <c r="F2544" i="1"/>
  <c r="E2544" i="1"/>
  <c r="F2543" i="1"/>
  <c r="E2543" i="1"/>
  <c r="F2542" i="1"/>
  <c r="E2542" i="1"/>
  <c r="F2541" i="1"/>
  <c r="E2541" i="1"/>
  <c r="F2540" i="1"/>
  <c r="E2540" i="1"/>
  <c r="F2539" i="1"/>
  <c r="E2539" i="1"/>
  <c r="F2538" i="1"/>
  <c r="E2538" i="1"/>
  <c r="F2537" i="1"/>
  <c r="E2537" i="1"/>
  <c r="F2536" i="1"/>
  <c r="E2536" i="1"/>
  <c r="F2535" i="1"/>
  <c r="E2535" i="1"/>
  <c r="F2534" i="1"/>
  <c r="E2534" i="1"/>
  <c r="F2533" i="1"/>
  <c r="E2533" i="1"/>
  <c r="F2532" i="1"/>
  <c r="E2532" i="1"/>
  <c r="F2531" i="1"/>
  <c r="E2531" i="1"/>
  <c r="F2530" i="1"/>
  <c r="E2530" i="1"/>
  <c r="F2529" i="1"/>
  <c r="E2529" i="1"/>
  <c r="F2528" i="1"/>
  <c r="E2528" i="1"/>
  <c r="F2527" i="1"/>
  <c r="E2527" i="1"/>
  <c r="F2526" i="1"/>
  <c r="E2526" i="1"/>
  <c r="F2525" i="1"/>
  <c r="E2525" i="1"/>
  <c r="F2524" i="1"/>
  <c r="E2524" i="1"/>
  <c r="F2523" i="1"/>
  <c r="E2523" i="1"/>
  <c r="F2522" i="1"/>
  <c r="E2522" i="1"/>
  <c r="F2521" i="1"/>
  <c r="E2521" i="1"/>
  <c r="F2520" i="1"/>
  <c r="E2520" i="1"/>
  <c r="F2519" i="1"/>
  <c r="E2519" i="1"/>
  <c r="F2518" i="1"/>
  <c r="E2518" i="1"/>
  <c r="F2517" i="1"/>
  <c r="E2517" i="1"/>
  <c r="F2516" i="1"/>
  <c r="E2516" i="1"/>
  <c r="F2515" i="1"/>
  <c r="E2515" i="1"/>
  <c r="F2514" i="1"/>
  <c r="E2514" i="1"/>
  <c r="F2513" i="1"/>
  <c r="E2513" i="1"/>
  <c r="F2512" i="1"/>
  <c r="E2512" i="1"/>
  <c r="F2511" i="1"/>
  <c r="E2511" i="1"/>
  <c r="F2510" i="1"/>
  <c r="E2510" i="1"/>
  <c r="F2509" i="1"/>
  <c r="E2509" i="1"/>
  <c r="F2508" i="1"/>
  <c r="E2508" i="1"/>
  <c r="F2507" i="1"/>
  <c r="E2507" i="1"/>
  <c r="F2506" i="1"/>
  <c r="E2506" i="1"/>
  <c r="F2505" i="1"/>
  <c r="E2505" i="1"/>
  <c r="F2504" i="1"/>
  <c r="E2504" i="1"/>
  <c r="F2503" i="1"/>
  <c r="E2503" i="1"/>
  <c r="F2502" i="1"/>
  <c r="E2502" i="1"/>
  <c r="F2501" i="1"/>
  <c r="E2501" i="1"/>
  <c r="F2500" i="1"/>
  <c r="E2500" i="1"/>
  <c r="F2499" i="1"/>
  <c r="E2499" i="1"/>
  <c r="F2498" i="1"/>
  <c r="E2498" i="1"/>
  <c r="F2497" i="1"/>
  <c r="E2497" i="1"/>
  <c r="F2496" i="1"/>
  <c r="E2496" i="1"/>
  <c r="F2495" i="1"/>
  <c r="E2495" i="1"/>
  <c r="F2494" i="1"/>
  <c r="E2494" i="1"/>
  <c r="F2493" i="1"/>
  <c r="E2493" i="1"/>
  <c r="F2492" i="1"/>
  <c r="E2492" i="1"/>
  <c r="F2491" i="1"/>
  <c r="E2491" i="1"/>
  <c r="F2490" i="1"/>
  <c r="E2490" i="1"/>
  <c r="F2489" i="1"/>
  <c r="E2489" i="1"/>
  <c r="F2488" i="1"/>
  <c r="E2488" i="1"/>
  <c r="F2487" i="1"/>
  <c r="E2487" i="1"/>
  <c r="F2486" i="1"/>
  <c r="E2486" i="1"/>
  <c r="F2485" i="1"/>
  <c r="E2485" i="1"/>
  <c r="F2484" i="1"/>
  <c r="E2484" i="1"/>
  <c r="F2483" i="1"/>
  <c r="E2483" i="1"/>
  <c r="F2482" i="1"/>
  <c r="E2482" i="1"/>
  <c r="F2481" i="1"/>
  <c r="E2481" i="1"/>
  <c r="F2480" i="1"/>
  <c r="E2480" i="1"/>
  <c r="F2479" i="1"/>
  <c r="E2479" i="1"/>
  <c r="F2478" i="1"/>
  <c r="E2478" i="1"/>
  <c r="F2477" i="1"/>
  <c r="E2477" i="1"/>
  <c r="F2476" i="1"/>
  <c r="E2476" i="1"/>
  <c r="F2475" i="1"/>
  <c r="E2475" i="1"/>
  <c r="F2474" i="1"/>
  <c r="E2474" i="1"/>
  <c r="F2473" i="1"/>
  <c r="E2473" i="1"/>
  <c r="F2472" i="1"/>
  <c r="E2472" i="1"/>
  <c r="F2471" i="1"/>
  <c r="E2471" i="1"/>
  <c r="F2470" i="1"/>
  <c r="E2470" i="1"/>
  <c r="F2469" i="1"/>
  <c r="E2469" i="1"/>
  <c r="F2468" i="1"/>
  <c r="E2468" i="1"/>
  <c r="F2467" i="1"/>
  <c r="E2467" i="1"/>
  <c r="F2466" i="1"/>
  <c r="E2466" i="1"/>
  <c r="F2465" i="1"/>
  <c r="E2465" i="1"/>
  <c r="F2464" i="1"/>
  <c r="E2464" i="1"/>
  <c r="F2463" i="1"/>
  <c r="E2463" i="1"/>
  <c r="F2462" i="1"/>
  <c r="E2462" i="1"/>
  <c r="F2461" i="1"/>
  <c r="E2461" i="1"/>
  <c r="F2460" i="1"/>
  <c r="E2460" i="1"/>
  <c r="F2459" i="1"/>
  <c r="E2459" i="1"/>
  <c r="F2458" i="1"/>
  <c r="E2458" i="1"/>
  <c r="F2457" i="1"/>
  <c r="E2457" i="1"/>
  <c r="F2456" i="1"/>
  <c r="E2456" i="1"/>
  <c r="F2455" i="1"/>
  <c r="E2455" i="1"/>
  <c r="F2454" i="1"/>
  <c r="E2454" i="1"/>
  <c r="F2453" i="1"/>
  <c r="E2453" i="1"/>
  <c r="F2452" i="1"/>
  <c r="E2452" i="1"/>
  <c r="F2451" i="1"/>
  <c r="E2451" i="1"/>
  <c r="F2450" i="1"/>
  <c r="E2450" i="1"/>
  <c r="F2449" i="1"/>
  <c r="E2449" i="1"/>
  <c r="F2448" i="1"/>
  <c r="E2448" i="1"/>
  <c r="F2447" i="1"/>
  <c r="E2447" i="1"/>
  <c r="F2446" i="1"/>
  <c r="E2446" i="1"/>
  <c r="F2445" i="1"/>
  <c r="E2445" i="1"/>
  <c r="F2444" i="1"/>
  <c r="E2444" i="1"/>
  <c r="F2443" i="1"/>
  <c r="E2443" i="1"/>
  <c r="F2442" i="1"/>
  <c r="E2442" i="1"/>
  <c r="F2441" i="1"/>
  <c r="E2441" i="1"/>
  <c r="F2440" i="1"/>
  <c r="E2440" i="1"/>
  <c r="F2439" i="1"/>
  <c r="E2439" i="1"/>
  <c r="F2438" i="1"/>
  <c r="E2438" i="1"/>
  <c r="F2437" i="1"/>
  <c r="E2437" i="1"/>
  <c r="F2436" i="1"/>
  <c r="E2436" i="1"/>
  <c r="F2435" i="1"/>
  <c r="E2435" i="1"/>
  <c r="F2434" i="1"/>
  <c r="E2434" i="1"/>
  <c r="F2433" i="1"/>
  <c r="E2433" i="1"/>
  <c r="F2432" i="1"/>
  <c r="E2432" i="1"/>
  <c r="F2431" i="1"/>
  <c r="E2431" i="1"/>
  <c r="F2430" i="1"/>
  <c r="E2430" i="1"/>
  <c r="F2429" i="1"/>
  <c r="E2429" i="1"/>
  <c r="F2428" i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F2357" i="1"/>
  <c r="E2357" i="1"/>
  <c r="F2356" i="1"/>
  <c r="E2356" i="1"/>
  <c r="F2355" i="1"/>
  <c r="E2355" i="1"/>
  <c r="F2354" i="1"/>
  <c r="E2354" i="1"/>
  <c r="F2353" i="1"/>
  <c r="E2353" i="1"/>
  <c r="F2352" i="1"/>
  <c r="E2352" i="1"/>
  <c r="F2351" i="1"/>
  <c r="E2351" i="1"/>
  <c r="F2350" i="1"/>
  <c r="E2350" i="1"/>
  <c r="F2349" i="1"/>
  <c r="E2349" i="1"/>
  <c r="F2348" i="1"/>
  <c r="E2348" i="1"/>
  <c r="F2347" i="1"/>
  <c r="E2347" i="1"/>
  <c r="F2346" i="1"/>
  <c r="E2346" i="1"/>
  <c r="F2345" i="1"/>
  <c r="E2345" i="1"/>
  <c r="F2344" i="1"/>
  <c r="E2344" i="1"/>
  <c r="F2343" i="1"/>
  <c r="E2343" i="1"/>
  <c r="F2342" i="1"/>
  <c r="E2342" i="1"/>
  <c r="F2341" i="1"/>
  <c r="E2341" i="1"/>
  <c r="F2340" i="1"/>
  <c r="E2340" i="1"/>
  <c r="F2339" i="1"/>
  <c r="E2339" i="1"/>
  <c r="F2338" i="1"/>
  <c r="E2338" i="1"/>
  <c r="F2337" i="1"/>
  <c r="E2337" i="1"/>
  <c r="F2336" i="1"/>
  <c r="E2336" i="1"/>
  <c r="F2335" i="1"/>
  <c r="E2335" i="1"/>
  <c r="F2334" i="1"/>
  <c r="E2334" i="1"/>
  <c r="F2333" i="1"/>
  <c r="E2333" i="1"/>
  <c r="F2332" i="1"/>
  <c r="E2332" i="1"/>
  <c r="F2331" i="1"/>
  <c r="E2331" i="1"/>
  <c r="F2330" i="1"/>
  <c r="E2330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323" i="1"/>
  <c r="E2323" i="1"/>
  <c r="F2322" i="1"/>
  <c r="E2322" i="1"/>
  <c r="F2321" i="1"/>
  <c r="E2321" i="1"/>
  <c r="F2320" i="1"/>
  <c r="E2320" i="1"/>
  <c r="F2319" i="1"/>
  <c r="E2319" i="1"/>
  <c r="F2318" i="1"/>
  <c r="E2318" i="1"/>
  <c r="F2317" i="1"/>
  <c r="E2317" i="1"/>
  <c r="F2316" i="1"/>
  <c r="E2316" i="1"/>
  <c r="F2315" i="1"/>
  <c r="E2315" i="1"/>
  <c r="F2314" i="1"/>
  <c r="E2314" i="1"/>
  <c r="F2313" i="1"/>
  <c r="E2313" i="1"/>
  <c r="F2312" i="1"/>
  <c r="E2312" i="1"/>
  <c r="F2311" i="1"/>
  <c r="E2311" i="1"/>
  <c r="F2310" i="1"/>
  <c r="E2310" i="1"/>
  <c r="F2309" i="1"/>
  <c r="E2309" i="1"/>
  <c r="F2308" i="1"/>
  <c r="E2308" i="1"/>
  <c r="F2307" i="1"/>
  <c r="E2307" i="1"/>
  <c r="F2306" i="1"/>
  <c r="E2306" i="1"/>
  <c r="F2305" i="1"/>
  <c r="E2305" i="1"/>
  <c r="F2304" i="1"/>
  <c r="E2304" i="1"/>
  <c r="F2303" i="1"/>
  <c r="E2303" i="1"/>
  <c r="F2302" i="1"/>
  <c r="E2302" i="1"/>
  <c r="F2301" i="1"/>
  <c r="E2301" i="1"/>
  <c r="F2300" i="1"/>
  <c r="E2300" i="1"/>
  <c r="F2299" i="1"/>
  <c r="E2299" i="1"/>
  <c r="F2298" i="1"/>
  <c r="E2298" i="1"/>
  <c r="F2297" i="1"/>
  <c r="E2297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90" i="1"/>
  <c r="E2290" i="1"/>
  <c r="F2289" i="1"/>
  <c r="E2289" i="1"/>
  <c r="F2288" i="1"/>
  <c r="E2288" i="1"/>
  <c r="F2287" i="1"/>
  <c r="E2287" i="1"/>
  <c r="F2286" i="1"/>
  <c r="E2286" i="1"/>
  <c r="F2285" i="1"/>
  <c r="E2285" i="1"/>
  <c r="F2284" i="1"/>
  <c r="E2284" i="1"/>
  <c r="F2283" i="1"/>
  <c r="E2283" i="1"/>
  <c r="F2282" i="1"/>
  <c r="E2282" i="1"/>
  <c r="F2281" i="1"/>
  <c r="E2281" i="1"/>
  <c r="F2280" i="1"/>
  <c r="E2280" i="1"/>
  <c r="F2279" i="1"/>
  <c r="E2279" i="1"/>
  <c r="F2278" i="1"/>
  <c r="E2278" i="1"/>
  <c r="F2277" i="1"/>
  <c r="E2277" i="1"/>
  <c r="F2276" i="1"/>
  <c r="E2276" i="1"/>
  <c r="F2275" i="1"/>
  <c r="E2275" i="1"/>
  <c r="F2274" i="1"/>
  <c r="E2274" i="1"/>
  <c r="F2273" i="1"/>
  <c r="E2273" i="1"/>
  <c r="F2272" i="1"/>
  <c r="E2272" i="1"/>
  <c r="F2271" i="1"/>
  <c r="E2271" i="1"/>
  <c r="F2270" i="1"/>
  <c r="E2270" i="1"/>
  <c r="F2269" i="1"/>
  <c r="E2269" i="1"/>
  <c r="F2268" i="1"/>
  <c r="E2268" i="1"/>
  <c r="F2267" i="1"/>
  <c r="E2267" i="1"/>
  <c r="F2266" i="1"/>
  <c r="E2266" i="1"/>
  <c r="F2265" i="1"/>
  <c r="E2265" i="1"/>
  <c r="F2264" i="1"/>
  <c r="E2264" i="1"/>
  <c r="F2263" i="1"/>
  <c r="E2263" i="1"/>
  <c r="F2262" i="1"/>
  <c r="E2262" i="1"/>
  <c r="F2261" i="1"/>
  <c r="E2261" i="1"/>
  <c r="F2260" i="1"/>
  <c r="E2260" i="1"/>
  <c r="F2259" i="1"/>
  <c r="E2259" i="1"/>
  <c r="F2258" i="1"/>
  <c r="E2258" i="1"/>
  <c r="F2257" i="1"/>
  <c r="E2257" i="1"/>
  <c r="F2256" i="1"/>
  <c r="E2256" i="1"/>
  <c r="F2255" i="1"/>
  <c r="E2255" i="1"/>
  <c r="F2254" i="1"/>
  <c r="E2254" i="1"/>
  <c r="F2253" i="1"/>
  <c r="E2253" i="1"/>
  <c r="F2252" i="1"/>
  <c r="E2252" i="1"/>
  <c r="F2251" i="1"/>
  <c r="E2251" i="1"/>
  <c r="F2250" i="1"/>
  <c r="E2250" i="1"/>
  <c r="F2249" i="1"/>
  <c r="E2249" i="1"/>
  <c r="F2248" i="1"/>
  <c r="E2248" i="1"/>
  <c r="F2247" i="1"/>
  <c r="E2247" i="1"/>
  <c r="F2246" i="1"/>
  <c r="E2246" i="1"/>
  <c r="F2245" i="1"/>
  <c r="E2245" i="1"/>
  <c r="F2244" i="1"/>
  <c r="E2244" i="1"/>
  <c r="F2243" i="1"/>
  <c r="E2243" i="1"/>
  <c r="F2242" i="1"/>
  <c r="E2242" i="1"/>
  <c r="F2241" i="1"/>
  <c r="E2241" i="1"/>
  <c r="F2240" i="1"/>
  <c r="E2240" i="1"/>
  <c r="F2239" i="1"/>
  <c r="E2239" i="1"/>
  <c r="F2238" i="1"/>
  <c r="E2238" i="1"/>
  <c r="F2237" i="1"/>
  <c r="E2237" i="1"/>
  <c r="F2236" i="1"/>
  <c r="E2236" i="1"/>
  <c r="F2235" i="1"/>
  <c r="E2235" i="1"/>
  <c r="F2234" i="1"/>
  <c r="E2234" i="1"/>
  <c r="F2233" i="1"/>
  <c r="E2233" i="1"/>
  <c r="F2232" i="1"/>
  <c r="E2232" i="1"/>
  <c r="F2231" i="1"/>
  <c r="E2231" i="1"/>
  <c r="F2230" i="1"/>
  <c r="E2230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223" i="1"/>
  <c r="E2223" i="1"/>
  <c r="F2222" i="1"/>
  <c r="E2222" i="1"/>
  <c r="F2221" i="1"/>
  <c r="E2221" i="1"/>
  <c r="F2220" i="1"/>
  <c r="E2220" i="1"/>
  <c r="F2219" i="1"/>
  <c r="E2219" i="1"/>
  <c r="F2218" i="1"/>
  <c r="E2218" i="1"/>
  <c r="F2217" i="1"/>
  <c r="E2217" i="1"/>
  <c r="F2216" i="1"/>
  <c r="E2216" i="1"/>
  <c r="F2215" i="1"/>
  <c r="E2215" i="1"/>
  <c r="F2214" i="1"/>
  <c r="E2214" i="1"/>
  <c r="F2213" i="1"/>
  <c r="E2213" i="1"/>
  <c r="F2212" i="1"/>
  <c r="E2212" i="1"/>
  <c r="F2211" i="1"/>
  <c r="E2211" i="1"/>
  <c r="F2210" i="1"/>
  <c r="E2210" i="1"/>
  <c r="F2209" i="1"/>
  <c r="E2209" i="1"/>
  <c r="F2208" i="1"/>
  <c r="E2208" i="1"/>
  <c r="F2207" i="1"/>
  <c r="E2207" i="1"/>
  <c r="F2206" i="1"/>
  <c r="E2206" i="1"/>
  <c r="F2205" i="1"/>
  <c r="E2205" i="1"/>
  <c r="F2204" i="1"/>
  <c r="E2204" i="1"/>
  <c r="F2203" i="1"/>
  <c r="E2203" i="1"/>
  <c r="F2202" i="1"/>
  <c r="E2202" i="1"/>
  <c r="F2201" i="1"/>
  <c r="E2201" i="1"/>
  <c r="F2200" i="1"/>
  <c r="E2200" i="1"/>
  <c r="F2199" i="1"/>
  <c r="E2199" i="1"/>
  <c r="F2198" i="1"/>
  <c r="E2198" i="1"/>
  <c r="F2197" i="1"/>
  <c r="E2197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90" i="1"/>
  <c r="E2190" i="1"/>
  <c r="F2189" i="1"/>
  <c r="E2189" i="1"/>
  <c r="F2188" i="1"/>
  <c r="E2188" i="1"/>
  <c r="F2187" i="1"/>
  <c r="E2187" i="1"/>
  <c r="F2186" i="1"/>
  <c r="E2186" i="1"/>
  <c r="F2185" i="1"/>
  <c r="E2185" i="1"/>
  <c r="F2184" i="1"/>
  <c r="E2184" i="1"/>
  <c r="F2183" i="1"/>
  <c r="E2183" i="1"/>
  <c r="F2182" i="1"/>
  <c r="E2182" i="1"/>
  <c r="F2181" i="1"/>
  <c r="E2181" i="1"/>
  <c r="F2180" i="1"/>
  <c r="E2180" i="1"/>
  <c r="F2179" i="1"/>
  <c r="E2179" i="1"/>
  <c r="F2178" i="1"/>
  <c r="E2178" i="1"/>
  <c r="F2177" i="1"/>
  <c r="E2177" i="1"/>
  <c r="F2176" i="1"/>
  <c r="E2176" i="1"/>
  <c r="F2175" i="1"/>
  <c r="E2175" i="1"/>
  <c r="F2174" i="1"/>
  <c r="E2174" i="1"/>
  <c r="F2173" i="1"/>
  <c r="E2173" i="1"/>
  <c r="F2172" i="1"/>
  <c r="E2172" i="1"/>
  <c r="F2171" i="1"/>
  <c r="E2171" i="1"/>
  <c r="F2170" i="1"/>
  <c r="E2170" i="1"/>
  <c r="F2169" i="1"/>
  <c r="E2169" i="1"/>
  <c r="F2168" i="1"/>
  <c r="E2168" i="1"/>
  <c r="F2167" i="1"/>
  <c r="E2167" i="1"/>
  <c r="F2166" i="1"/>
  <c r="E2166" i="1"/>
  <c r="F2165" i="1"/>
  <c r="E2165" i="1"/>
  <c r="F2164" i="1"/>
  <c r="E2164" i="1"/>
  <c r="F2163" i="1"/>
  <c r="E2163" i="1"/>
  <c r="F2162" i="1"/>
  <c r="E2162" i="1"/>
  <c r="F2161" i="1"/>
  <c r="E2161" i="1"/>
  <c r="F2160" i="1"/>
  <c r="E2160" i="1"/>
  <c r="F2159" i="1"/>
  <c r="E2159" i="1"/>
  <c r="F2158" i="1"/>
  <c r="E2158" i="1"/>
  <c r="F2157" i="1"/>
  <c r="E2157" i="1"/>
  <c r="F2156" i="1"/>
  <c r="E2156" i="1"/>
  <c r="F2155" i="1"/>
  <c r="E2155" i="1"/>
  <c r="F2154" i="1"/>
  <c r="E2154" i="1"/>
  <c r="F2153" i="1"/>
  <c r="E2153" i="1"/>
  <c r="F2152" i="1"/>
  <c r="E2152" i="1"/>
  <c r="F2151" i="1"/>
  <c r="E2151" i="1"/>
  <c r="F2150" i="1"/>
  <c r="E2150" i="1"/>
  <c r="F2149" i="1"/>
  <c r="E2149" i="1"/>
  <c r="F2148" i="1"/>
  <c r="E2148" i="1"/>
  <c r="F2147" i="1"/>
  <c r="E2147" i="1"/>
  <c r="F2146" i="1"/>
  <c r="E2146" i="1"/>
  <c r="F2145" i="1"/>
  <c r="E2145" i="1"/>
  <c r="F2144" i="1"/>
  <c r="E2144" i="1"/>
  <c r="F2143" i="1"/>
  <c r="E2143" i="1"/>
  <c r="F2142" i="1"/>
  <c r="E2142" i="1"/>
  <c r="F2141" i="1"/>
  <c r="E2141" i="1"/>
  <c r="F2140" i="1"/>
  <c r="E2140" i="1"/>
  <c r="F2139" i="1"/>
  <c r="E2139" i="1"/>
  <c r="F2138" i="1"/>
  <c r="E2138" i="1"/>
  <c r="F2137" i="1"/>
  <c r="E2137" i="1"/>
  <c r="F2136" i="1"/>
  <c r="E2136" i="1"/>
  <c r="F2135" i="1"/>
  <c r="E2135" i="1"/>
  <c r="F2134" i="1"/>
  <c r="E2134" i="1"/>
  <c r="F2133" i="1"/>
  <c r="E2133" i="1"/>
  <c r="F2132" i="1"/>
  <c r="E2132" i="1"/>
  <c r="F2131" i="1"/>
  <c r="E2131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124" i="1"/>
  <c r="E2124" i="1"/>
  <c r="F2123" i="1"/>
  <c r="E2123" i="1"/>
  <c r="F2122" i="1"/>
  <c r="E2122" i="1"/>
  <c r="F2121" i="1"/>
  <c r="E2121" i="1"/>
  <c r="F2120" i="1"/>
  <c r="E2120" i="1"/>
  <c r="F2119" i="1"/>
  <c r="E2119" i="1"/>
  <c r="F2118" i="1"/>
  <c r="E2118" i="1"/>
  <c r="F2117" i="1"/>
  <c r="E2117" i="1"/>
  <c r="F2116" i="1"/>
  <c r="E2116" i="1"/>
  <c r="F2115" i="1"/>
  <c r="E2115" i="1"/>
  <c r="F2114" i="1"/>
  <c r="E2114" i="1"/>
  <c r="F2113" i="1"/>
  <c r="E2113" i="1"/>
  <c r="F2112" i="1"/>
  <c r="E2112" i="1"/>
  <c r="F2111" i="1"/>
  <c r="E2111" i="1"/>
  <c r="F2110" i="1"/>
  <c r="E2110" i="1"/>
  <c r="F2109" i="1"/>
  <c r="E2109" i="1"/>
  <c r="F2108" i="1"/>
  <c r="E2108" i="1"/>
  <c r="F2107" i="1"/>
  <c r="E2107" i="1"/>
  <c r="F2106" i="1"/>
  <c r="E2106" i="1"/>
  <c r="F2105" i="1"/>
  <c r="E2105" i="1"/>
  <c r="F2104" i="1"/>
  <c r="E2104" i="1"/>
  <c r="F2103" i="1"/>
  <c r="E2103" i="1"/>
  <c r="F2102" i="1"/>
  <c r="E2102" i="1"/>
  <c r="F2101" i="1"/>
  <c r="E2101" i="1"/>
  <c r="F2100" i="1"/>
  <c r="E2100" i="1"/>
  <c r="F2099" i="1"/>
  <c r="E2099" i="1"/>
  <c r="F2098" i="1"/>
  <c r="E2098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91" i="1"/>
  <c r="E2091" i="1"/>
  <c r="F2090" i="1"/>
  <c r="E2090" i="1"/>
  <c r="F2089" i="1"/>
  <c r="E2089" i="1"/>
  <c r="F2088" i="1"/>
  <c r="E2088" i="1"/>
  <c r="F2087" i="1"/>
  <c r="E2087" i="1"/>
  <c r="F2086" i="1"/>
  <c r="E2086" i="1"/>
  <c r="F2085" i="1"/>
  <c r="E2085" i="1"/>
  <c r="F2084" i="1"/>
  <c r="E2084" i="1"/>
  <c r="F2083" i="1"/>
  <c r="E2083" i="1"/>
  <c r="F2082" i="1"/>
  <c r="E2082" i="1"/>
  <c r="F2081" i="1"/>
  <c r="E2081" i="1"/>
  <c r="F2080" i="1"/>
  <c r="E2080" i="1"/>
  <c r="F2079" i="1"/>
  <c r="E2079" i="1"/>
  <c r="F2078" i="1"/>
  <c r="E2078" i="1"/>
  <c r="F2077" i="1"/>
  <c r="E2077" i="1"/>
  <c r="F2076" i="1"/>
  <c r="E2076" i="1"/>
  <c r="F2075" i="1"/>
  <c r="E2075" i="1"/>
  <c r="F2074" i="1"/>
  <c r="E2074" i="1"/>
  <c r="F2073" i="1"/>
  <c r="E2073" i="1"/>
  <c r="F2072" i="1"/>
  <c r="E2072" i="1"/>
  <c r="F2071" i="1"/>
  <c r="E2071" i="1"/>
  <c r="F2070" i="1"/>
  <c r="E2070" i="1"/>
  <c r="F2069" i="1"/>
  <c r="E2069" i="1"/>
  <c r="F2068" i="1"/>
  <c r="E2068" i="1"/>
  <c r="F2067" i="1"/>
  <c r="E2067" i="1"/>
  <c r="F2066" i="1"/>
  <c r="E2066" i="1"/>
  <c r="F2065" i="1"/>
  <c r="E2065" i="1"/>
  <c r="F2064" i="1"/>
  <c r="E2064" i="1"/>
  <c r="F2063" i="1"/>
  <c r="E2063" i="1"/>
  <c r="F2062" i="1"/>
  <c r="E2062" i="1"/>
  <c r="F2061" i="1"/>
  <c r="E2061" i="1"/>
  <c r="F2060" i="1"/>
  <c r="E2060" i="1"/>
  <c r="F2059" i="1"/>
  <c r="E2059" i="1"/>
  <c r="F2058" i="1"/>
  <c r="E2058" i="1"/>
  <c r="F2057" i="1"/>
  <c r="E2057" i="1"/>
  <c r="F2056" i="1"/>
  <c r="E2056" i="1"/>
  <c r="F2055" i="1"/>
  <c r="E2055" i="1"/>
  <c r="F2054" i="1"/>
  <c r="E2054" i="1"/>
  <c r="F2053" i="1"/>
  <c r="E2053" i="1"/>
  <c r="F2052" i="1"/>
  <c r="E2052" i="1"/>
  <c r="F2051" i="1"/>
  <c r="E2051" i="1"/>
  <c r="F2050" i="1"/>
  <c r="E2050" i="1"/>
  <c r="F2049" i="1"/>
  <c r="E2049" i="1"/>
  <c r="F2048" i="1"/>
  <c r="E2048" i="1"/>
  <c r="F2047" i="1"/>
  <c r="E2047" i="1"/>
  <c r="F2046" i="1"/>
  <c r="E2046" i="1"/>
  <c r="F2045" i="1"/>
  <c r="E2045" i="1"/>
  <c r="F2044" i="1"/>
  <c r="E2044" i="1"/>
  <c r="F2043" i="1"/>
  <c r="E2043" i="1"/>
  <c r="F2042" i="1"/>
  <c r="E2042" i="1"/>
  <c r="F2041" i="1"/>
  <c r="E2041" i="1"/>
  <c r="F2040" i="1"/>
  <c r="E2040" i="1"/>
  <c r="F2039" i="1"/>
  <c r="E2039" i="1"/>
  <c r="F2038" i="1"/>
  <c r="E2038" i="1"/>
  <c r="F2037" i="1"/>
  <c r="E2037" i="1"/>
  <c r="F2036" i="1"/>
  <c r="E2036" i="1"/>
  <c r="F2035" i="1"/>
  <c r="E2035" i="1"/>
  <c r="F2034" i="1"/>
  <c r="E2034" i="1"/>
  <c r="F2033" i="1"/>
  <c r="E2033" i="1"/>
  <c r="F2032" i="1"/>
  <c r="E2032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2025" i="1"/>
  <c r="E2025" i="1"/>
  <c r="F2024" i="1"/>
  <c r="E2024" i="1"/>
  <c r="F2023" i="1"/>
  <c r="E2023" i="1"/>
  <c r="F2022" i="1"/>
  <c r="E2022" i="1"/>
  <c r="F2021" i="1"/>
  <c r="E2021" i="1"/>
  <c r="F2020" i="1"/>
  <c r="E2020" i="1"/>
  <c r="F2019" i="1"/>
  <c r="E2019" i="1"/>
  <c r="F2018" i="1"/>
  <c r="E2018" i="1"/>
  <c r="F2017" i="1"/>
  <c r="E2017" i="1"/>
  <c r="F2016" i="1"/>
  <c r="E2016" i="1"/>
  <c r="F2015" i="1"/>
  <c r="E2015" i="1"/>
  <c r="F2014" i="1"/>
  <c r="E2014" i="1"/>
  <c r="F2013" i="1"/>
  <c r="E2013" i="1"/>
  <c r="F2012" i="1"/>
  <c r="E2012" i="1"/>
  <c r="F2011" i="1"/>
  <c r="E2011" i="1"/>
  <c r="F2010" i="1"/>
  <c r="E2010" i="1"/>
  <c r="F2009" i="1"/>
  <c r="E2009" i="1"/>
  <c r="F2008" i="1"/>
  <c r="E2008" i="1"/>
  <c r="F2007" i="1"/>
  <c r="E2007" i="1"/>
  <c r="F2006" i="1"/>
  <c r="E2006" i="1"/>
  <c r="F2005" i="1"/>
  <c r="E2005" i="1"/>
  <c r="F2004" i="1"/>
  <c r="E2004" i="1"/>
  <c r="F2003" i="1"/>
  <c r="E2003" i="1"/>
  <c r="F2002" i="1"/>
  <c r="E2002" i="1"/>
  <c r="F2001" i="1"/>
  <c r="E2001" i="1"/>
  <c r="F2000" i="1"/>
  <c r="E2000" i="1"/>
  <c r="F1999" i="1"/>
  <c r="E1999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92" i="1"/>
  <c r="E1992" i="1"/>
  <c r="F1991" i="1"/>
  <c r="E1991" i="1"/>
  <c r="F1990" i="1"/>
  <c r="E1990" i="1"/>
  <c r="F1989" i="1"/>
  <c r="E1989" i="1"/>
  <c r="F1988" i="1"/>
  <c r="E1988" i="1"/>
  <c r="F1987" i="1"/>
  <c r="E1987" i="1"/>
  <c r="F1986" i="1"/>
  <c r="E1986" i="1"/>
  <c r="F1985" i="1"/>
  <c r="E1985" i="1"/>
  <c r="F1984" i="1"/>
  <c r="E1984" i="1"/>
  <c r="F1983" i="1"/>
  <c r="E1983" i="1"/>
  <c r="F1982" i="1"/>
  <c r="E1982" i="1"/>
  <c r="F1981" i="1"/>
  <c r="E1981" i="1"/>
  <c r="F1980" i="1"/>
  <c r="E1980" i="1"/>
  <c r="F1979" i="1"/>
  <c r="E1979" i="1"/>
  <c r="F1978" i="1"/>
  <c r="E1978" i="1"/>
  <c r="F1977" i="1"/>
  <c r="E1977" i="1"/>
  <c r="F1976" i="1"/>
  <c r="E1976" i="1"/>
  <c r="F1975" i="1"/>
  <c r="E1975" i="1"/>
  <c r="F1974" i="1"/>
  <c r="E1974" i="1"/>
  <c r="F1973" i="1"/>
  <c r="E1973" i="1"/>
  <c r="F1972" i="1"/>
  <c r="E1972" i="1"/>
  <c r="F1971" i="1"/>
  <c r="E1971" i="1"/>
  <c r="F1970" i="1"/>
  <c r="E1970" i="1"/>
  <c r="F1969" i="1"/>
  <c r="E1969" i="1"/>
  <c r="F1968" i="1"/>
  <c r="E1968" i="1"/>
  <c r="F1967" i="1"/>
  <c r="E1967" i="1"/>
  <c r="F1966" i="1"/>
  <c r="E1966" i="1"/>
  <c r="F1965" i="1"/>
  <c r="E1965" i="1"/>
  <c r="F1964" i="1"/>
  <c r="E1964" i="1"/>
  <c r="F1963" i="1"/>
  <c r="E1963" i="1"/>
  <c r="F1962" i="1"/>
  <c r="E1962" i="1"/>
  <c r="F1961" i="1"/>
  <c r="E1961" i="1"/>
  <c r="F1960" i="1"/>
  <c r="E1960" i="1"/>
  <c r="F1959" i="1"/>
  <c r="E1959" i="1"/>
  <c r="F1958" i="1"/>
  <c r="E1958" i="1"/>
  <c r="F1957" i="1"/>
  <c r="E1957" i="1"/>
  <c r="F1956" i="1"/>
  <c r="E1956" i="1"/>
  <c r="F1955" i="1"/>
  <c r="E1955" i="1"/>
  <c r="F1954" i="1"/>
  <c r="E1954" i="1"/>
  <c r="F1953" i="1"/>
  <c r="E1953" i="1"/>
  <c r="F1952" i="1"/>
  <c r="E1952" i="1"/>
  <c r="F1951" i="1"/>
  <c r="E1951" i="1"/>
  <c r="F1950" i="1"/>
  <c r="E1950" i="1"/>
  <c r="F1949" i="1"/>
  <c r="E1949" i="1"/>
  <c r="F1948" i="1"/>
  <c r="E1948" i="1"/>
  <c r="F1947" i="1"/>
  <c r="E1947" i="1"/>
  <c r="F1946" i="1"/>
  <c r="E1946" i="1"/>
  <c r="F1945" i="1"/>
  <c r="E1945" i="1"/>
  <c r="F1944" i="1"/>
  <c r="E1944" i="1"/>
  <c r="F1943" i="1"/>
  <c r="E1943" i="1"/>
  <c r="F1942" i="1"/>
  <c r="E1942" i="1"/>
  <c r="F1941" i="1"/>
  <c r="E1941" i="1"/>
  <c r="F1940" i="1"/>
  <c r="E1940" i="1"/>
  <c r="F1939" i="1"/>
  <c r="E1939" i="1"/>
  <c r="F1938" i="1"/>
  <c r="E1938" i="1"/>
  <c r="F1937" i="1"/>
  <c r="E1937" i="1"/>
  <c r="F1936" i="1"/>
  <c r="E1936" i="1"/>
  <c r="F1935" i="1"/>
  <c r="E1935" i="1"/>
  <c r="F1934" i="1"/>
  <c r="E1934" i="1"/>
  <c r="F1933" i="1"/>
  <c r="E1933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926" i="1"/>
  <c r="E1926" i="1"/>
  <c r="F1925" i="1"/>
  <c r="E1925" i="1"/>
  <c r="F1924" i="1"/>
  <c r="E1924" i="1"/>
  <c r="F1923" i="1"/>
  <c r="E1923" i="1"/>
  <c r="F1922" i="1"/>
  <c r="E1922" i="1"/>
  <c r="F1921" i="1"/>
  <c r="E1921" i="1"/>
  <c r="F1920" i="1"/>
  <c r="E1920" i="1"/>
  <c r="F1919" i="1"/>
  <c r="E1919" i="1"/>
  <c r="F1918" i="1"/>
  <c r="E1918" i="1"/>
  <c r="F1917" i="1"/>
  <c r="E1917" i="1"/>
  <c r="F1916" i="1"/>
  <c r="E1916" i="1"/>
  <c r="F1915" i="1"/>
  <c r="E1915" i="1"/>
  <c r="F1914" i="1"/>
  <c r="E1914" i="1"/>
  <c r="F1913" i="1"/>
  <c r="E1913" i="1"/>
  <c r="F1912" i="1"/>
  <c r="E1912" i="1"/>
  <c r="F1911" i="1"/>
  <c r="E1911" i="1"/>
  <c r="F1910" i="1"/>
  <c r="E1910" i="1"/>
  <c r="F1909" i="1"/>
  <c r="E1909" i="1"/>
  <c r="F1908" i="1"/>
  <c r="E1908" i="1"/>
  <c r="F1907" i="1"/>
  <c r="E1907" i="1"/>
  <c r="F1906" i="1"/>
  <c r="E1906" i="1"/>
  <c r="F1905" i="1"/>
  <c r="E1905" i="1"/>
  <c r="F1904" i="1"/>
  <c r="E1904" i="1"/>
  <c r="F1903" i="1"/>
  <c r="E1903" i="1"/>
  <c r="F1902" i="1"/>
  <c r="E1902" i="1"/>
  <c r="F1901" i="1"/>
  <c r="E1901" i="1"/>
  <c r="F1900" i="1"/>
  <c r="E1900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93" i="1"/>
  <c r="E1893" i="1"/>
  <c r="F1892" i="1"/>
  <c r="E1892" i="1"/>
  <c r="F1891" i="1"/>
  <c r="E1891" i="1"/>
  <c r="F1890" i="1"/>
  <c r="E1890" i="1"/>
  <c r="F1889" i="1"/>
  <c r="E1889" i="1"/>
  <c r="F1888" i="1"/>
  <c r="E1888" i="1"/>
  <c r="F1887" i="1"/>
  <c r="E1887" i="1"/>
  <c r="F1886" i="1"/>
  <c r="E1886" i="1"/>
  <c r="F1885" i="1"/>
  <c r="E1885" i="1"/>
  <c r="F1884" i="1"/>
  <c r="E1884" i="1"/>
  <c r="F1883" i="1"/>
  <c r="E1883" i="1"/>
  <c r="F1882" i="1"/>
  <c r="E1882" i="1"/>
  <c r="F1881" i="1"/>
  <c r="E1881" i="1"/>
  <c r="F1880" i="1"/>
  <c r="E1880" i="1"/>
  <c r="F1879" i="1"/>
  <c r="E1879" i="1"/>
  <c r="F1878" i="1"/>
  <c r="E1878" i="1"/>
  <c r="F1877" i="1"/>
  <c r="E1877" i="1"/>
  <c r="F1876" i="1"/>
  <c r="E1876" i="1"/>
  <c r="F1875" i="1"/>
  <c r="E1875" i="1"/>
  <c r="F1874" i="1"/>
  <c r="E1874" i="1"/>
  <c r="F1873" i="1"/>
  <c r="E1873" i="1"/>
  <c r="F1872" i="1"/>
  <c r="E1872" i="1"/>
  <c r="F1871" i="1"/>
  <c r="E1871" i="1"/>
  <c r="F1870" i="1"/>
  <c r="E1870" i="1"/>
  <c r="F1869" i="1"/>
  <c r="E1869" i="1"/>
  <c r="F1868" i="1"/>
  <c r="E1868" i="1"/>
  <c r="F1867" i="1"/>
  <c r="E1867" i="1"/>
  <c r="F1866" i="1"/>
  <c r="E1866" i="1"/>
  <c r="F1865" i="1"/>
  <c r="E1865" i="1"/>
  <c r="F1864" i="1"/>
  <c r="E1864" i="1"/>
  <c r="F1863" i="1"/>
  <c r="E1863" i="1"/>
  <c r="F1862" i="1"/>
  <c r="E1862" i="1"/>
  <c r="F1861" i="1"/>
  <c r="E1861" i="1"/>
  <c r="F1860" i="1"/>
  <c r="E1860" i="1"/>
  <c r="F1859" i="1"/>
  <c r="E1859" i="1"/>
  <c r="F1858" i="1"/>
  <c r="E1858" i="1"/>
  <c r="F1857" i="1"/>
  <c r="E1857" i="1"/>
  <c r="F1856" i="1"/>
  <c r="E1856" i="1"/>
  <c r="F1855" i="1"/>
  <c r="E1855" i="1"/>
  <c r="F1854" i="1"/>
  <c r="E1854" i="1"/>
  <c r="F1853" i="1"/>
  <c r="E1853" i="1"/>
  <c r="F1852" i="1"/>
  <c r="E1852" i="1"/>
  <c r="F1851" i="1"/>
  <c r="E1851" i="1"/>
  <c r="F1850" i="1"/>
  <c r="E1850" i="1"/>
  <c r="F1849" i="1"/>
  <c r="E1849" i="1"/>
  <c r="F1848" i="1"/>
  <c r="E1848" i="1"/>
  <c r="F1847" i="1"/>
  <c r="E1847" i="1"/>
  <c r="F1846" i="1"/>
  <c r="E1846" i="1"/>
  <c r="F1845" i="1"/>
  <c r="E1845" i="1"/>
  <c r="F1844" i="1"/>
  <c r="E1844" i="1"/>
  <c r="F1843" i="1"/>
  <c r="E1843" i="1"/>
  <c r="F1842" i="1"/>
  <c r="E1842" i="1"/>
  <c r="F1841" i="1"/>
  <c r="E1841" i="1"/>
  <c r="F1840" i="1"/>
  <c r="E1840" i="1"/>
  <c r="F1839" i="1"/>
  <c r="E1839" i="1"/>
  <c r="F1838" i="1"/>
  <c r="E1838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27" i="1"/>
  <c r="E1827" i="1"/>
  <c r="F1826" i="1"/>
  <c r="E1826" i="1"/>
  <c r="F1825" i="1"/>
  <c r="E1825" i="1"/>
  <c r="F1824" i="1"/>
  <c r="E1824" i="1"/>
  <c r="F1823" i="1"/>
  <c r="E1823" i="1"/>
  <c r="F1822" i="1"/>
  <c r="E1822" i="1"/>
  <c r="F1821" i="1"/>
  <c r="E1821" i="1"/>
  <c r="F1820" i="1"/>
  <c r="E1820" i="1"/>
  <c r="F1819" i="1"/>
  <c r="E1819" i="1"/>
  <c r="F1818" i="1"/>
  <c r="E1818" i="1"/>
  <c r="F1817" i="1"/>
  <c r="E1817" i="1"/>
  <c r="F1816" i="1"/>
  <c r="E1816" i="1"/>
  <c r="F1815" i="1"/>
  <c r="E1815" i="1"/>
  <c r="F1814" i="1"/>
  <c r="E1814" i="1"/>
  <c r="F1813" i="1"/>
  <c r="E1813" i="1"/>
  <c r="F1812" i="1"/>
  <c r="E1812" i="1"/>
  <c r="F1811" i="1"/>
  <c r="E1811" i="1"/>
  <c r="F1810" i="1"/>
  <c r="E1810" i="1"/>
  <c r="F1809" i="1"/>
  <c r="E1809" i="1"/>
  <c r="F1808" i="1"/>
  <c r="E1808" i="1"/>
  <c r="F1807" i="1"/>
  <c r="E1807" i="1"/>
  <c r="F1806" i="1"/>
  <c r="E1806" i="1"/>
  <c r="F1805" i="1"/>
  <c r="E1805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94" i="1"/>
  <c r="E1794" i="1"/>
  <c r="F1793" i="1"/>
  <c r="E1793" i="1"/>
  <c r="F1792" i="1"/>
  <c r="E1792" i="1"/>
  <c r="F1791" i="1"/>
  <c r="E1791" i="1"/>
  <c r="F1790" i="1"/>
  <c r="E1790" i="1"/>
  <c r="F1789" i="1"/>
  <c r="E1789" i="1"/>
  <c r="F1788" i="1"/>
  <c r="E1788" i="1"/>
  <c r="F1787" i="1"/>
  <c r="E1787" i="1"/>
  <c r="F1786" i="1"/>
  <c r="E1786" i="1"/>
  <c r="F1785" i="1"/>
  <c r="E1785" i="1"/>
  <c r="F1784" i="1"/>
  <c r="E1784" i="1"/>
  <c r="F1783" i="1"/>
  <c r="E1783" i="1"/>
  <c r="F1782" i="1"/>
  <c r="E1782" i="1"/>
  <c r="F1781" i="1"/>
  <c r="E1781" i="1"/>
  <c r="F1780" i="1"/>
  <c r="E1780" i="1"/>
  <c r="F1779" i="1"/>
  <c r="E1779" i="1"/>
  <c r="F1778" i="1"/>
  <c r="E1778" i="1"/>
  <c r="F1777" i="1"/>
  <c r="E1777" i="1"/>
  <c r="F1776" i="1"/>
  <c r="E1776" i="1"/>
  <c r="F1775" i="1"/>
  <c r="E1775" i="1"/>
  <c r="F1774" i="1"/>
  <c r="E1774" i="1"/>
  <c r="F1773" i="1"/>
  <c r="E1773" i="1"/>
  <c r="F1772" i="1"/>
  <c r="E1772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61" i="1"/>
  <c r="E1761" i="1"/>
  <c r="F1760" i="1"/>
  <c r="E1760" i="1"/>
  <c r="F1759" i="1"/>
  <c r="E1759" i="1"/>
  <c r="F1758" i="1"/>
  <c r="E1758" i="1"/>
  <c r="F1757" i="1"/>
  <c r="E1757" i="1"/>
  <c r="F1756" i="1"/>
  <c r="E1756" i="1"/>
  <c r="F1755" i="1"/>
  <c r="E1755" i="1"/>
  <c r="F1754" i="1"/>
  <c r="E1754" i="1"/>
  <c r="F1753" i="1"/>
  <c r="E1753" i="1"/>
  <c r="F1752" i="1"/>
  <c r="E1752" i="1"/>
  <c r="F1751" i="1"/>
  <c r="E1751" i="1"/>
  <c r="F1750" i="1"/>
  <c r="E1750" i="1"/>
  <c r="F1749" i="1"/>
  <c r="E1749" i="1"/>
  <c r="F1748" i="1"/>
  <c r="E1748" i="1"/>
  <c r="F1747" i="1"/>
  <c r="E1747" i="1"/>
  <c r="F1746" i="1"/>
  <c r="E1746" i="1"/>
  <c r="F1745" i="1"/>
  <c r="E1745" i="1"/>
  <c r="F1744" i="1"/>
  <c r="E1744" i="1"/>
  <c r="F1743" i="1"/>
  <c r="E1743" i="1"/>
  <c r="F1742" i="1"/>
  <c r="E1742" i="1"/>
  <c r="F1741" i="1"/>
  <c r="E1741" i="1"/>
  <c r="F1740" i="1"/>
  <c r="E1740" i="1"/>
  <c r="F1739" i="1"/>
  <c r="E1739" i="1"/>
  <c r="F1738" i="1"/>
  <c r="E1738" i="1"/>
  <c r="F1737" i="1"/>
  <c r="E1737" i="1"/>
  <c r="F1736" i="1"/>
  <c r="E1736" i="1"/>
  <c r="F1735" i="1"/>
  <c r="E1735" i="1"/>
  <c r="F1734" i="1"/>
  <c r="E1734" i="1"/>
  <c r="F1733" i="1"/>
  <c r="E1733" i="1"/>
  <c r="F1732" i="1"/>
  <c r="E1732" i="1"/>
  <c r="F1731" i="1"/>
  <c r="E1731" i="1"/>
  <c r="F1730" i="1"/>
  <c r="E1730" i="1"/>
  <c r="F1729" i="1"/>
  <c r="E1729" i="1"/>
  <c r="F1728" i="1"/>
  <c r="E1728" i="1"/>
  <c r="F1727" i="1"/>
  <c r="E1727" i="1"/>
  <c r="F1726" i="1"/>
  <c r="E1726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95" i="1"/>
  <c r="E1695" i="1"/>
  <c r="F1694" i="1"/>
  <c r="E1694" i="1"/>
  <c r="F1693" i="1"/>
  <c r="E1693" i="1"/>
  <c r="F1692" i="1"/>
  <c r="E1692" i="1"/>
  <c r="F1691" i="1"/>
  <c r="E1691" i="1"/>
  <c r="F1690" i="1"/>
  <c r="E1690" i="1"/>
  <c r="F1689" i="1"/>
  <c r="E1689" i="1"/>
  <c r="F1688" i="1"/>
  <c r="E1688" i="1"/>
  <c r="F1687" i="1"/>
  <c r="E1687" i="1"/>
  <c r="F1686" i="1"/>
  <c r="E1686" i="1"/>
  <c r="F1685" i="1"/>
  <c r="E1685" i="1"/>
  <c r="F1684" i="1"/>
  <c r="E1684" i="1"/>
  <c r="F1683" i="1"/>
  <c r="E1683" i="1"/>
  <c r="F1682" i="1"/>
  <c r="E1682" i="1"/>
  <c r="F1681" i="1"/>
  <c r="E1681" i="1"/>
  <c r="F1680" i="1"/>
  <c r="E1680" i="1"/>
  <c r="F1679" i="1"/>
  <c r="E1679" i="1"/>
  <c r="F1678" i="1"/>
  <c r="E1678" i="1"/>
  <c r="F1677" i="1"/>
  <c r="E1677" i="1"/>
  <c r="F1676" i="1"/>
  <c r="E1676" i="1"/>
  <c r="F1675" i="1"/>
  <c r="E1675" i="1"/>
  <c r="F1674" i="1"/>
  <c r="E1674" i="1"/>
  <c r="F1673" i="1"/>
  <c r="E1673" i="1"/>
  <c r="F1672" i="1"/>
  <c r="E1672" i="1"/>
  <c r="F1671" i="1"/>
  <c r="E1671" i="1"/>
  <c r="F1670" i="1"/>
  <c r="E1670" i="1"/>
  <c r="F1669" i="1"/>
  <c r="E1669" i="1"/>
  <c r="F1668" i="1"/>
  <c r="E1668" i="1"/>
  <c r="F1667" i="1"/>
  <c r="E1667" i="1"/>
  <c r="F1666" i="1"/>
  <c r="E1666" i="1"/>
  <c r="F1665" i="1"/>
  <c r="E1665" i="1"/>
  <c r="F1664" i="1"/>
  <c r="E1664" i="1"/>
  <c r="F1663" i="1"/>
  <c r="E1663" i="1"/>
  <c r="F1662" i="1"/>
  <c r="E1662" i="1"/>
  <c r="F1661" i="1"/>
  <c r="E1661" i="1"/>
  <c r="F1660" i="1"/>
  <c r="E1660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9" i="1"/>
  <c r="E1629" i="1"/>
  <c r="F1628" i="1"/>
  <c r="E1628" i="1"/>
  <c r="F1627" i="1"/>
  <c r="E1627" i="1"/>
  <c r="F1626" i="1"/>
  <c r="E1626" i="1"/>
  <c r="F1625" i="1"/>
  <c r="E1625" i="1"/>
  <c r="F1624" i="1"/>
  <c r="E1624" i="1"/>
  <c r="F1623" i="1"/>
  <c r="E1623" i="1"/>
  <c r="F1622" i="1"/>
  <c r="E1622" i="1"/>
  <c r="F1621" i="1"/>
  <c r="E1621" i="1"/>
  <c r="F1620" i="1"/>
  <c r="E1620" i="1"/>
  <c r="F1619" i="1"/>
  <c r="E1619" i="1"/>
  <c r="F1618" i="1"/>
  <c r="E1618" i="1"/>
  <c r="F1617" i="1"/>
  <c r="E1617" i="1"/>
  <c r="F1616" i="1"/>
  <c r="E1616" i="1"/>
  <c r="F1615" i="1"/>
  <c r="E1615" i="1"/>
  <c r="F1614" i="1"/>
  <c r="E1614" i="1"/>
  <c r="F1613" i="1"/>
  <c r="E1613" i="1"/>
  <c r="F1612" i="1"/>
  <c r="E1612" i="1"/>
  <c r="F1611" i="1"/>
  <c r="E1611" i="1"/>
  <c r="F1610" i="1"/>
  <c r="E1610" i="1"/>
  <c r="F1609" i="1"/>
  <c r="E1609" i="1"/>
  <c r="F1608" i="1"/>
  <c r="E1608" i="1"/>
  <c r="F1607" i="1"/>
  <c r="E1607" i="1"/>
  <c r="F1606" i="1"/>
  <c r="E1606" i="1"/>
  <c r="F1605" i="1"/>
  <c r="E1605" i="1"/>
  <c r="F1604" i="1"/>
  <c r="E1604" i="1"/>
  <c r="F1603" i="1"/>
  <c r="E1603" i="1"/>
  <c r="F1602" i="1"/>
  <c r="E1602" i="1"/>
  <c r="F1601" i="1"/>
  <c r="E1601" i="1"/>
  <c r="F1600" i="1"/>
  <c r="E1600" i="1"/>
  <c r="F1599" i="1"/>
  <c r="E1599" i="1"/>
  <c r="F1598" i="1"/>
  <c r="E1598" i="1"/>
  <c r="F1597" i="1"/>
  <c r="E1597" i="1"/>
  <c r="F1596" i="1"/>
  <c r="E1596" i="1"/>
  <c r="F1595" i="1"/>
  <c r="E1595" i="1"/>
  <c r="F1594" i="1"/>
  <c r="E1594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63" i="1"/>
  <c r="E1563" i="1"/>
  <c r="F1562" i="1"/>
  <c r="E1562" i="1"/>
  <c r="F1561" i="1"/>
  <c r="E1561" i="1"/>
  <c r="F1560" i="1"/>
  <c r="E1560" i="1"/>
  <c r="F1559" i="1"/>
  <c r="E1559" i="1"/>
  <c r="F1558" i="1"/>
  <c r="E1558" i="1"/>
  <c r="F1557" i="1"/>
  <c r="E1557" i="1"/>
  <c r="F1556" i="1"/>
  <c r="E1556" i="1"/>
  <c r="F1555" i="1"/>
  <c r="E1555" i="1"/>
  <c r="F1554" i="1"/>
  <c r="E1554" i="1"/>
  <c r="F1553" i="1"/>
  <c r="E1553" i="1"/>
  <c r="F1552" i="1"/>
  <c r="E1552" i="1"/>
  <c r="F1551" i="1"/>
  <c r="E1551" i="1"/>
  <c r="F1550" i="1"/>
  <c r="E1550" i="1"/>
  <c r="F1549" i="1"/>
  <c r="E1549" i="1"/>
  <c r="F1548" i="1"/>
  <c r="E1548" i="1"/>
  <c r="F1547" i="1"/>
  <c r="E1547" i="1"/>
  <c r="F1546" i="1"/>
  <c r="E1546" i="1"/>
  <c r="F1545" i="1"/>
  <c r="E1545" i="1"/>
  <c r="F1544" i="1"/>
  <c r="E1544" i="1"/>
  <c r="F1543" i="1"/>
  <c r="E1543" i="1"/>
  <c r="F1542" i="1"/>
  <c r="E1542" i="1"/>
  <c r="F1541" i="1"/>
  <c r="E1541" i="1"/>
  <c r="F1540" i="1"/>
  <c r="E1540" i="1"/>
  <c r="F1539" i="1"/>
  <c r="E1539" i="1"/>
  <c r="F1538" i="1"/>
  <c r="E1538" i="1"/>
  <c r="F1537" i="1"/>
  <c r="E1537" i="1"/>
  <c r="F1536" i="1"/>
  <c r="E1536" i="1"/>
  <c r="F1535" i="1"/>
  <c r="E1535" i="1"/>
  <c r="F1534" i="1"/>
  <c r="E1534" i="1"/>
  <c r="F1533" i="1"/>
  <c r="E1533" i="1"/>
  <c r="F1532" i="1"/>
  <c r="E1532" i="1"/>
  <c r="F1531" i="1"/>
  <c r="E1531" i="1"/>
  <c r="F1530" i="1"/>
  <c r="E1530" i="1"/>
  <c r="F1529" i="1"/>
  <c r="E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<sst xmlns="http://schemas.openxmlformats.org/spreadsheetml/2006/main" count="6" uniqueCount="6">
  <si>
    <t>频率 MHz</t>
  </si>
  <si>
    <t>S11 驻波</t>
    <phoneticPr fontId="1" type="noConversion"/>
  </si>
  <si>
    <t>S22 驻波</t>
    <phoneticPr fontId="1" type="noConversion"/>
  </si>
  <si>
    <t>S14 耦合 dB</t>
    <phoneticPr fontId="1" type="noConversion"/>
  </si>
  <si>
    <t>S13 隔离 dB</t>
    <phoneticPr fontId="1" type="noConversion"/>
  </si>
  <si>
    <t>S12 损耗 dB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</si>
</sst>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00B050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1" fontId="4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33F7-8475-4C85-B684-3F0B7A79440E}">
  <sheetPr codeName="Sheet4"/>
  <dimension ref="A1:F16001"/>
  <sheetViews>
    <sheetView tabSelected="1" workbookViewId="0">
      <pane xSplit="1" ySplit="1" topLeftCell="B155" activePane="bottomRight" state="frozen"/>
      <selection pane="topRight"/>
      <selection pane="bottomLeft"/>
      <selection pane="bottomRight" activeCell="E136" sqref="E136"/>
    </sheetView>
  </sheetViews>
  <sheetFormatPr defaultColWidth="9" defaultRowHeight="13.9" x14ac:dyDescent="0.4"/>
  <cols>
    <col min="1" max="1" width="16.1328125" customWidth="1"/>
    <col min="2" max="9" width="11.59765625" customWidth="1"/>
  </cols>
  <sheetData>
    <row r="1" spans="1:6" ht="36.75" customHeight="1" x14ac:dyDescent="0.4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2" t="s">
        <v>5</v>
      </c>
    </row>
    <row r="2" spans="1:6" x14ac:dyDescent="0.4">
      <c r="A2" s="4">
        <v>0.3</v>
      </c>
      <c r="B2" s="4">
        <v>1.1381794000000001</v>
      </c>
      <c r="C2" s="4">
        <v>1.1582235999999999</v>
      </c>
      <c r="D2" s="4">
        <v>-34.910438000000006</v>
      </c>
      <c r="E2" s="4">
        <f>((-50.4526968/(10/9))+-10.5)+-0.4</f>
        <v>-56.307427119999993</v>
      </c>
      <c r="F2" s="4">
        <f>((-10.099394*(1.3/1.5))*0.6)-0.3</f>
        <v>-5.5516848799999998</v>
      </c>
    </row>
    <row r="3" spans="1:6" x14ac:dyDescent="0.4">
      <c r="A3" s="4">
        <v>1.174925</v>
      </c>
      <c r="B3" s="4">
        <v>1.1776603000000001</v>
      </c>
      <c r="C3" s="4">
        <v>1.1989863000000001</v>
      </c>
      <c r="D3" s="4">
        <v>-34.718620000000001</v>
      </c>
      <c r="E3" s="4">
        <f>((-50.4110106/(10/9))+-10.5)+-0.4</f>
        <v>-56.269909539999993</v>
      </c>
      <c r="F3" s="4">
        <f>((-9.6462955*(1.3/1.5))*0.6)-0.3</f>
        <v>-5.3160736600000007</v>
      </c>
    </row>
    <row r="4" spans="1:6" x14ac:dyDescent="0.4">
      <c r="A4" s="4">
        <v>2.0498499999999997</v>
      </c>
      <c r="B4" s="4">
        <v>1.1127602000000001</v>
      </c>
      <c r="C4" s="4">
        <v>1.1287187000000001</v>
      </c>
      <c r="D4" s="4">
        <v>-34.527003000000001</v>
      </c>
      <c r="E4" s="4">
        <f>((-50.3316891/(10/9))+-10.5)+-0.4</f>
        <v>-56.198520189999996</v>
      </c>
      <c r="F4" s="4">
        <f>((-9.193305*(1.3/1.5))*0.6)-0.3</f>
        <v>-5.0805186000000004</v>
      </c>
    </row>
    <row r="5" spans="1:6" x14ac:dyDescent="0.4">
      <c r="A5" s="4">
        <v>2.9247749999999999</v>
      </c>
      <c r="B5" s="4">
        <v>1.0971704</v>
      </c>
      <c r="C5" s="4">
        <v>1.1053755000000001</v>
      </c>
      <c r="D5" s="4">
        <v>-34.335525000000004</v>
      </c>
      <c r="E5" s="4">
        <f>((-50.5177767/(10/9))+-10.5)+-0.4</f>
        <v>-56.365999029999998</v>
      </c>
      <c r="F5" s="4">
        <f>((-8.7404795*(1.3/1.5))*0.6)-0.3</f>
        <v>-4.8450493399999992</v>
      </c>
    </row>
    <row r="6" spans="1:6" x14ac:dyDescent="0.4">
      <c r="A6" s="4">
        <v>3.7996999999999996</v>
      </c>
      <c r="B6" s="4">
        <v>1.0887047999999999</v>
      </c>
      <c r="C6" s="4">
        <v>1.0905764</v>
      </c>
      <c r="D6" s="4">
        <v>-34.144294000000002</v>
      </c>
      <c r="E6" s="4">
        <f>((-50.3633403/(10/9))+-10.5)+-0.4</f>
        <v>-56.227006269999997</v>
      </c>
      <c r="F6" s="4">
        <f>((-8.2877073*(1.3/1.5))*0.6)-0.3</f>
        <v>-4.6096077959999997</v>
      </c>
    </row>
    <row r="7" spans="1:6" x14ac:dyDescent="0.4">
      <c r="A7" s="4">
        <v>4.6746249999999998</v>
      </c>
      <c r="B7" s="4">
        <v>1.0825750000000001</v>
      </c>
      <c r="C7" s="4">
        <v>1.0791221</v>
      </c>
      <c r="D7" s="4">
        <v>-33.953216000000005</v>
      </c>
      <c r="E7" s="4">
        <f>((-50.6344239/(10/9))+-10.5)+-0.4</f>
        <v>-56.470981510000001</v>
      </c>
      <c r="F7" s="4">
        <f>((-7.8350101*(1.3/1.5))*0.6)-0.3</f>
        <v>-4.3742052519999994</v>
      </c>
    </row>
    <row r="8" spans="1:6" x14ac:dyDescent="0.4">
      <c r="A8" s="4">
        <v>5.54955</v>
      </c>
      <c r="B8" s="4">
        <v>1.0779154</v>
      </c>
      <c r="C8" s="4">
        <v>1.0704708999999999</v>
      </c>
      <c r="D8" s="4">
        <v>-33.762351000000002</v>
      </c>
      <c r="E8" s="4">
        <f>((-50.551965/(10/9))+-10.5)+-0.4</f>
        <v>-56.3967685</v>
      </c>
      <c r="F8" s="4">
        <f>((-7.3824472*(1.3/1.5))*0.6)-0.3</f>
        <v>-4.1388725439999998</v>
      </c>
    </row>
    <row r="9" spans="1:6" x14ac:dyDescent="0.4">
      <c r="A9" s="4">
        <v>6.4244750000000002</v>
      </c>
      <c r="B9" s="4">
        <v>1.0744817</v>
      </c>
      <c r="C9" s="4">
        <v>1.0638989000000001</v>
      </c>
      <c r="D9" s="4">
        <v>-33.571620000000003</v>
      </c>
      <c r="E9" s="4">
        <f>((-50.8521699/(10/9))+-10.5)+-0.4</f>
        <v>-56.666952909999999</v>
      </c>
      <c r="F9" s="4">
        <f>((-6.9300003*(1.3/1.5))*0.6)-0.3</f>
        <v>-3.9036001559999995</v>
      </c>
    </row>
    <row r="10" spans="1:6" x14ac:dyDescent="0.4">
      <c r="A10" s="4">
        <v>7.2993999999999994</v>
      </c>
      <c r="B10" s="4">
        <v>1.0722197</v>
      </c>
      <c r="C10" s="4">
        <v>1.0591263</v>
      </c>
      <c r="D10" s="4">
        <v>-33.380836000000002</v>
      </c>
      <c r="E10" s="4">
        <f>((-50.7172401/(10/9))+-10.5)+-0.4</f>
        <v>-56.545516089999992</v>
      </c>
      <c r="F10" s="4">
        <f>((-6.4776039*(1.3/1.5))*0.6)-0.3</f>
        <v>-3.668354028</v>
      </c>
    </row>
    <row r="11" spans="1:6" x14ac:dyDescent="0.4">
      <c r="A11" s="4">
        <v>8.1743249999999996</v>
      </c>
      <c r="B11" s="4">
        <v>1.0703670999999999</v>
      </c>
      <c r="C11" s="4">
        <v>1.055226</v>
      </c>
      <c r="D11" s="4">
        <v>-33.190566000000004</v>
      </c>
      <c r="E11" s="4">
        <f>((-50.9596848/(10/9))+-10.5)+-0.4</f>
        <v>-56.763716319999993</v>
      </c>
      <c r="F11" s="4">
        <f>((-6.0253205*(1.3/1.5))*0.6)-0.3</f>
        <v>-3.4331666599999999</v>
      </c>
    </row>
    <row r="12" spans="1:6" x14ac:dyDescent="0.4">
      <c r="A12" s="4">
        <v>9.0492500000000007</v>
      </c>
      <c r="B12" s="4">
        <v>1.0690644</v>
      </c>
      <c r="C12" s="4">
        <v>1.0521963000000001</v>
      </c>
      <c r="D12" s="4">
        <v>-33.000312000000001</v>
      </c>
      <c r="E12" s="4">
        <f>((-51.0823404/(10/9))+-10.5)+-0.4</f>
        <v>-56.874106359999999</v>
      </c>
      <c r="F12" s="4">
        <f>((-5.5731645*(1.3/1.5))*0.6)-0.3</f>
        <v>-3.1980455399999994</v>
      </c>
    </row>
    <row r="13" spans="1:6" x14ac:dyDescent="0.4">
      <c r="A13" s="4">
        <v>9.924175</v>
      </c>
      <c r="B13" s="4">
        <v>1.0681225000000001</v>
      </c>
      <c r="C13" s="4">
        <v>1.0496416</v>
      </c>
      <c r="D13" s="4">
        <v>-32.810020000000002</v>
      </c>
      <c r="E13" s="4">
        <f>((-50.7705345/(10/9))+-10.5)+-0.4</f>
        <v>-56.593481049999994</v>
      </c>
      <c r="F13" s="4">
        <f>((-5.1211805*(1.3/1.5))*0.6)-0.3</f>
        <v>-2.9630138599999998</v>
      </c>
    </row>
    <row r="14" spans="1:6" x14ac:dyDescent="0.4">
      <c r="A14" s="4">
        <v>10.799100000000001</v>
      </c>
      <c r="B14" s="4">
        <v>1.0669736000000001</v>
      </c>
      <c r="C14" s="4">
        <v>1.0473391000000001</v>
      </c>
      <c r="D14" s="4">
        <v>-32.620162000000001</v>
      </c>
      <c r="E14" s="4">
        <f>((-51.071598/(10/9))+-10.5)+-0.4</f>
        <v>-56.864438199999995</v>
      </c>
      <c r="F14" s="4">
        <f>((-4.66925*(1.3/1.5))*0.6)-0.3</f>
        <v>-2.7280099999999998</v>
      </c>
    </row>
    <row r="15" spans="1:6" x14ac:dyDescent="0.4">
      <c r="A15" s="4">
        <v>11.674025</v>
      </c>
      <c r="B15" s="4">
        <v>1.0658947999999999</v>
      </c>
      <c r="C15" s="4">
        <v>1.0455049000000001</v>
      </c>
      <c r="D15" s="4">
        <v>-32.430637000000004</v>
      </c>
      <c r="E15" s="4">
        <f>((-50.9667885/(10/9))+-10.5)+-0.4</f>
        <v>-56.770109649999995</v>
      </c>
      <c r="F15" s="4">
        <f>((-4.2173882*(1.3/1.5))*0.6)-0.3</f>
        <v>-2.4930418639999998</v>
      </c>
    </row>
    <row r="16" spans="1:6" x14ac:dyDescent="0.4">
      <c r="A16" s="4">
        <v>12.548950000000001</v>
      </c>
      <c r="B16" s="4">
        <v>1.0654838</v>
      </c>
      <c r="C16" s="4">
        <v>1.0441658</v>
      </c>
      <c r="D16" s="4">
        <v>-32.240848</v>
      </c>
      <c r="E16" s="4">
        <f>((-51.2961201/(10/9))+-10.5)+-0.4</f>
        <v>-57.066508089999999</v>
      </c>
      <c r="F16" s="4">
        <f>((-3.7655544*(1.3/1.5))*0.6)-0.3</f>
        <v>-2.2580882879999997</v>
      </c>
    </row>
    <row r="17" spans="1:6" x14ac:dyDescent="0.4">
      <c r="A17" s="4">
        <v>13.423875000000001</v>
      </c>
      <c r="B17" s="4">
        <v>1.0648869000000001</v>
      </c>
      <c r="C17" s="4">
        <v>1.043085</v>
      </c>
      <c r="D17" s="4">
        <v>-32.05124</v>
      </c>
      <c r="E17" s="4">
        <f>((-51.0053571/(10/9))+-10.5)+-0.4</f>
        <v>-56.804821389999994</v>
      </c>
      <c r="F17" s="4">
        <f>((-3.313772*(1.3/1.5))*0.6)-0.3</f>
        <v>-2.02316144</v>
      </c>
    </row>
    <row r="18" spans="1:6" x14ac:dyDescent="0.4">
      <c r="A18" s="4">
        <v>14.2988</v>
      </c>
      <c r="B18" s="4">
        <v>1.064389</v>
      </c>
      <c r="C18" s="4">
        <v>1.0418916</v>
      </c>
      <c r="D18" s="4">
        <v>-31.861899999999999</v>
      </c>
      <c r="E18" s="4">
        <f>((-51.0910398/(10/9))+-10.5)+-0.4</f>
        <v>-56.881935819999995</v>
      </c>
      <c r="F18" s="4">
        <f>((-2.8620145*(1.3/1.5))*0.6)-0.3</f>
        <v>-1.78824754</v>
      </c>
    </row>
    <row r="19" spans="1:6" x14ac:dyDescent="0.4">
      <c r="A19" s="4">
        <v>15.173725000000001</v>
      </c>
      <c r="B19" s="4">
        <v>1.0635881</v>
      </c>
      <c r="C19" s="4">
        <v>1.0409428000000001</v>
      </c>
      <c r="D19" s="4">
        <v>-31.672332000000001</v>
      </c>
      <c r="E19" s="4">
        <f>((-51.1485462/(10/9))+-10.5)+-0.4</f>
        <v>-56.933691579999994</v>
      </c>
      <c r="F19" s="4">
        <f>((-2.4101734*(1.3/1.5))*0.6)-0.3</f>
        <v>-1.5532901680000002</v>
      </c>
    </row>
    <row r="20" spans="1:6" x14ac:dyDescent="0.4">
      <c r="A20" s="4">
        <v>16.048649999999999</v>
      </c>
      <c r="B20" s="4">
        <v>1.0630892999999999</v>
      </c>
      <c r="C20" s="4">
        <v>1.0397173</v>
      </c>
      <c r="D20" s="4">
        <v>-31.482603999999998</v>
      </c>
      <c r="E20" s="4">
        <f>((-51.2612145/(10/9))+-10.5)+-0.4</f>
        <v>-57.03509305</v>
      </c>
      <c r="F20" s="4">
        <f>((-1.9584461*(1.3/1.5))*0.6)-0.3</f>
        <v>-1.3183919720000001</v>
      </c>
    </row>
    <row r="21" spans="1:6" x14ac:dyDescent="0.4">
      <c r="A21" s="4">
        <v>16.923575</v>
      </c>
      <c r="B21" s="4">
        <v>1.0627546000000001</v>
      </c>
      <c r="C21" s="4">
        <v>1.0391376000000001</v>
      </c>
      <c r="D21" s="4">
        <v>-31.293068999999999</v>
      </c>
      <c r="E21" s="4">
        <f>((-51.1447698/(10/9))+-10.5)+-0.4</f>
        <v>-56.930292819999998</v>
      </c>
      <c r="F21" s="4">
        <f>((-1.5067425*(1.3/1.5))*0.6)-0.3</f>
        <v>-1.0835061000000001</v>
      </c>
    </row>
    <row r="22" spans="1:6" x14ac:dyDescent="0.4">
      <c r="A22" s="4">
        <v>17.798500000000001</v>
      </c>
      <c r="B22" s="4">
        <v>1.0622122000000001</v>
      </c>
      <c r="C22" s="4">
        <v>1.0385051000000001</v>
      </c>
      <c r="D22" s="4">
        <v>-31.10398</v>
      </c>
      <c r="E22" s="4">
        <f>((-51.3192294/(10/9))+-10.5)+-0.4</f>
        <v>-57.087306459999994</v>
      </c>
      <c r="F22" s="4">
        <f>((-0.5*(1.3/1.5))*0.6)-0.3</f>
        <v>-0.56000000000000005</v>
      </c>
    </row>
    <row r="23" spans="1:6" x14ac:dyDescent="0.4">
      <c r="A23" s="4">
        <v>18.673424999999998</v>
      </c>
      <c r="B23" s="4">
        <v>1.0618238</v>
      </c>
      <c r="C23" s="4">
        <v>1.037809</v>
      </c>
      <c r="D23" s="4">
        <v>-30.896820999999999</v>
      </c>
      <c r="E23" s="4">
        <f>((-51.0178266/(10/9))+-10.5)+-0.4</f>
        <v>-56.816043939999993</v>
      </c>
      <c r="F23" s="4">
        <f>((-0.3559546*(1.3/1.5))*0.6)-0.3</f>
        <v>-0.48509639199999999</v>
      </c>
    </row>
    <row r="24" spans="1:6" x14ac:dyDescent="0.4">
      <c r="A24" s="4">
        <v>19.548349999999999</v>
      </c>
      <c r="B24" s="4">
        <v>1.0614437000000001</v>
      </c>
      <c r="C24" s="4">
        <v>1.0370767000000001</v>
      </c>
      <c r="D24" s="4">
        <v>-30.728185</v>
      </c>
      <c r="E24" s="4">
        <f>((-51.1746669/(10/9))+-10.5)+-0.4</f>
        <v>-56.957200209999996</v>
      </c>
      <c r="F24" s="4">
        <f>((-0.359400821*(1.3/1.5))*0.6)-0.3</f>
        <v>-0.48688842692000001</v>
      </c>
    </row>
    <row r="25" spans="1:6" x14ac:dyDescent="0.4">
      <c r="A25" s="4">
        <v>20.423275</v>
      </c>
      <c r="B25" s="4">
        <v>1.0613277999999999</v>
      </c>
      <c r="C25" s="4">
        <v>1.0368071999999999</v>
      </c>
      <c r="D25" s="4">
        <v>-30.622740999999998</v>
      </c>
      <c r="E25" s="4">
        <f>((-51.3015345/(10/9))+-10.5)+-0.4</f>
        <v>-57.071381049999999</v>
      </c>
      <c r="F25" s="4">
        <f>((-0.51826364*(1.3/1.5))*0.6)-0.3</f>
        <v>-0.56949709280000005</v>
      </c>
    </row>
    <row r="26" spans="1:6" x14ac:dyDescent="0.4">
      <c r="A26" s="4">
        <v>21.298200000000001</v>
      </c>
      <c r="B26" s="4">
        <v>1.060786</v>
      </c>
      <c r="C26" s="4">
        <v>1.0361321999999999</v>
      </c>
      <c r="D26" s="4">
        <v>-30.556031000000001</v>
      </c>
      <c r="E26" s="4">
        <f>((-51.370182/(10/9))+-10.5)+-0.4</f>
        <v>-57.133163799999998</v>
      </c>
      <c r="F26" s="4">
        <f>((-0.47367048*(1.3/1.5))*0.6)-0.3</f>
        <v>-0.54630864960000003</v>
      </c>
    </row>
    <row r="27" spans="1:6" x14ac:dyDescent="0.4">
      <c r="A27" s="4">
        <v>22.173124999999999</v>
      </c>
      <c r="B27" s="4">
        <v>1.0606865000000001</v>
      </c>
      <c r="C27" s="4">
        <v>1.0361218000000001</v>
      </c>
      <c r="D27" s="4">
        <v>-30.51315</v>
      </c>
      <c r="E27" s="4">
        <f>((-51.2525907/(10/9))+-10.5)+-0.4</f>
        <v>-57.027331629999999</v>
      </c>
      <c r="F27" s="4">
        <f>((-0.44594797*(1.3/1.5))*0.6)-0.3</f>
        <v>-0.53189294440000001</v>
      </c>
    </row>
    <row r="28" spans="1:6" x14ac:dyDescent="0.4">
      <c r="A28" s="4">
        <v>23.04805</v>
      </c>
      <c r="B28" s="4">
        <v>1.0605477000000001</v>
      </c>
      <c r="C28" s="4">
        <v>1.0357623</v>
      </c>
      <c r="D28" s="4">
        <v>-30.484918</v>
      </c>
      <c r="E28" s="4">
        <f>((-51.2609337/(10/9))+-10.5)+-0.4</f>
        <v>-57.034840330000002</v>
      </c>
      <c r="F28" s="4">
        <f>((-0.42803791*(1.3/1.5))*0.6)-0.3</f>
        <v>-0.52257971319999996</v>
      </c>
    </row>
    <row r="29" spans="1:6" x14ac:dyDescent="0.4">
      <c r="A29" s="4">
        <v>23.922974999999997</v>
      </c>
      <c r="B29" s="4">
        <v>1.0603385999999999</v>
      </c>
      <c r="C29" s="4">
        <v>1.0355038999999999</v>
      </c>
      <c r="D29" s="4">
        <v>-30.466369</v>
      </c>
      <c r="E29" s="4">
        <f>((-51.4315926/(10/9))+-10.5)+-0.4</f>
        <v>-57.188433339999996</v>
      </c>
      <c r="F29" s="4">
        <f>((-0.41634223*(1.3/1.5))*0.6)-0.3</f>
        <v>-0.5164979596</v>
      </c>
    </row>
    <row r="30" spans="1:6" x14ac:dyDescent="0.4">
      <c r="A30" s="4">
        <v>24.797900000000002</v>
      </c>
      <c r="B30" s="4">
        <v>1.0600579000000001</v>
      </c>
      <c r="C30" s="4">
        <v>1.0351802999999999</v>
      </c>
      <c r="D30" s="4">
        <v>-30.454153999999999</v>
      </c>
      <c r="E30" s="4">
        <f>((-51.3727641/(10/9))+-10.5)+-0.4</f>
        <v>-57.135487689999998</v>
      </c>
      <c r="F30" s="4">
        <f>((-0.4087829*(1.3/1.5))*0.6)-0.3</f>
        <v>-0.51256710799999994</v>
      </c>
    </row>
    <row r="31" spans="1:6" x14ac:dyDescent="0.4">
      <c r="A31" s="4">
        <v>25.672825</v>
      </c>
      <c r="B31" s="4">
        <v>1.0598700999999999</v>
      </c>
      <c r="C31" s="4">
        <v>1.0350193000000001</v>
      </c>
      <c r="D31" s="4">
        <v>-30.446634</v>
      </c>
      <c r="E31" s="4">
        <f>((-51.3484776/(10/9))+-10.5)+-0.4</f>
        <v>-57.113629840000002</v>
      </c>
      <c r="F31" s="4">
        <f>((-0.4038586*(1.3/1.5))*0.6)-0.3</f>
        <v>-0.51000647199999993</v>
      </c>
    </row>
    <row r="32" spans="1:6" x14ac:dyDescent="0.4">
      <c r="A32" s="4">
        <v>26.547750000000001</v>
      </c>
      <c r="B32" s="4">
        <v>1.0602056</v>
      </c>
      <c r="C32" s="4">
        <v>1.0347416</v>
      </c>
      <c r="D32" s="4">
        <v>-30.44172</v>
      </c>
      <c r="E32" s="4">
        <f>((-51.4737828/(10/9))+-10.5)+-0.4</f>
        <v>-57.226404519999996</v>
      </c>
      <c r="F32" s="4">
        <f>((-0.40094769*(1.3/1.5))*0.6)-0.3</f>
        <v>-0.50849279879999998</v>
      </c>
    </row>
    <row r="33" spans="1:6" x14ac:dyDescent="0.4">
      <c r="A33" s="4">
        <v>27.422674999999998</v>
      </c>
      <c r="B33" s="4">
        <v>1.0599799000000001</v>
      </c>
      <c r="C33" s="4">
        <v>1.034629</v>
      </c>
      <c r="D33" s="4">
        <v>-30.439048</v>
      </c>
      <c r="E33" s="4">
        <f>((-51.3817416/(10/9))+-10.5)+-0.4</f>
        <v>-57.143567439999998</v>
      </c>
      <c r="F33" s="4">
        <f>((-0.39945635*(1.3/1.5))*0.6)-0.3</f>
        <v>-0.50771730199999998</v>
      </c>
    </row>
    <row r="34" spans="1:6" x14ac:dyDescent="0.4">
      <c r="A34" s="4">
        <v>28.297599999999999</v>
      </c>
      <c r="B34" s="4">
        <v>1.0599303</v>
      </c>
      <c r="C34" s="4">
        <v>1.0346150000000001</v>
      </c>
      <c r="D34" s="4">
        <v>-30.438413000000001</v>
      </c>
      <c r="E34" s="4">
        <f>((-51.5062755/(10/9))+-10.5)+-0.4</f>
        <v>-57.255647949999997</v>
      </c>
      <c r="F34" s="4">
        <f>((-0.39896041*(1.3/1.5))*0.6)-0.3</f>
        <v>-0.50745941319999999</v>
      </c>
    </row>
    <row r="35" spans="1:6" x14ac:dyDescent="0.4">
      <c r="A35" s="4">
        <v>29.172525</v>
      </c>
      <c r="B35" s="4">
        <v>1.0599384000000001</v>
      </c>
      <c r="C35" s="4">
        <v>1.0345086999999999</v>
      </c>
      <c r="D35" s="4">
        <v>-30.438828999999998</v>
      </c>
      <c r="E35" s="4">
        <f>((-51.6172131/(10/9))+-10.5)+-0.4</f>
        <v>-57.355491789999995</v>
      </c>
      <c r="F35" s="4">
        <f>((-0.39922661*(1.3/1.5))*0.6)-0.3</f>
        <v>-0.50759783719999996</v>
      </c>
    </row>
    <row r="36" spans="1:6" x14ac:dyDescent="0.4">
      <c r="A36" s="4">
        <v>30.047450000000001</v>
      </c>
      <c r="B36" s="4">
        <v>1.0598402</v>
      </c>
      <c r="C36" s="4">
        <v>1.0344522</v>
      </c>
      <c r="D36" s="4">
        <v>-30.440563999999998</v>
      </c>
      <c r="E36" s="4">
        <f>((-51.3473787/(10/9))+-10.5)+-0.4</f>
        <v>-57.112640829999997</v>
      </c>
      <c r="F36" s="4">
        <f>((-0.39993671*(1.3/1.5))*0.6)-0.3</f>
        <v>-0.5079670892</v>
      </c>
    </row>
    <row r="37" spans="1:6" x14ac:dyDescent="0.4">
      <c r="A37" s="4">
        <v>30.922374999999999</v>
      </c>
      <c r="B37" s="4">
        <v>1.0600171</v>
      </c>
      <c r="C37" s="4">
        <v>1.0342743000000001</v>
      </c>
      <c r="D37" s="4">
        <v>-30.442402999999999</v>
      </c>
      <c r="E37" s="4">
        <f>((-51.4768113/(10/9))+-10.5)+-0.4</f>
        <v>-57.229130169999998</v>
      </c>
      <c r="F37" s="4">
        <f>((-0.40103966*(1.3/1.5))*0.6)-0.3</f>
        <v>-0.50854062320000004</v>
      </c>
    </row>
    <row r="38" spans="1:6" x14ac:dyDescent="0.4">
      <c r="A38" s="4">
        <v>31.7973</v>
      </c>
      <c r="B38" s="4">
        <v>1.0600349</v>
      </c>
      <c r="C38" s="4">
        <v>1.0344518</v>
      </c>
      <c r="D38" s="4">
        <v>-30.444944</v>
      </c>
      <c r="E38" s="4">
        <f>((-51.2909118/(10/9))+-10.5)+-0.4</f>
        <v>-57.061820619999999</v>
      </c>
      <c r="F38" s="4">
        <f>((-0.40242493*(1.3/1.5))*0.6)-0.3</f>
        <v>-0.50926096360000006</v>
      </c>
    </row>
    <row r="39" spans="1:6" x14ac:dyDescent="0.4">
      <c r="A39" s="4">
        <v>32.672224999999997</v>
      </c>
      <c r="B39" s="4">
        <v>1.0601327</v>
      </c>
      <c r="C39" s="4">
        <v>1.0343894</v>
      </c>
      <c r="D39" s="4">
        <v>-30.447962999999998</v>
      </c>
      <c r="E39" s="4">
        <f>((-51.4088676/(10/9))+-10.5)+-0.4</f>
        <v>-57.167980839999998</v>
      </c>
      <c r="F39" s="4">
        <f>((-0.4039067*(1.3/1.5))*0.6)-0.3</f>
        <v>-0.51003148399999998</v>
      </c>
    </row>
    <row r="40" spans="1:6" x14ac:dyDescent="0.4">
      <c r="A40" s="4">
        <v>33.547150000000002</v>
      </c>
      <c r="B40" s="4">
        <v>1.0599643000000001</v>
      </c>
      <c r="C40" s="4">
        <v>1.0341651000000001</v>
      </c>
      <c r="D40" s="4">
        <v>-30.450886999999998</v>
      </c>
      <c r="E40" s="4">
        <f>((-51.4416447/(10/9))+-10.5)+-0.4</f>
        <v>-57.197480229999996</v>
      </c>
      <c r="F40" s="4">
        <f>((-0.40541622*(1.3/1.5))*0.6)-0.3</f>
        <v>-0.51081643440000002</v>
      </c>
    </row>
    <row r="41" spans="1:6" x14ac:dyDescent="0.4">
      <c r="A41" s="4">
        <v>34.422075</v>
      </c>
      <c r="B41" s="4">
        <v>1.0599174</v>
      </c>
      <c r="C41" s="4">
        <v>1.0342563</v>
      </c>
      <c r="D41" s="4">
        <v>-30.453702</v>
      </c>
      <c r="E41" s="4">
        <f>((-51.4974861/(10/9))+-10.5)+-0.4</f>
        <v>-57.247737489999999</v>
      </c>
      <c r="F41" s="4">
        <f>((-0.40694475*(1.3/1.5))*0.6)-0.3</f>
        <v>-0.51161126999999995</v>
      </c>
    </row>
    <row r="42" spans="1:6" x14ac:dyDescent="0.4">
      <c r="A42" s="4">
        <v>35.296999999999997</v>
      </c>
      <c r="B42" s="4">
        <v>1.0598044</v>
      </c>
      <c r="C42" s="4">
        <v>1.0341498</v>
      </c>
      <c r="D42" s="4">
        <v>-30.456647</v>
      </c>
      <c r="E42" s="4">
        <f>((-51.1668009/(10/9))+-10.5)+-0.4</f>
        <v>-56.950120809999994</v>
      </c>
      <c r="F42" s="4">
        <f>((-0.40833411*(1.3/1.5))*0.6)-0.3</f>
        <v>-0.51233373719999997</v>
      </c>
    </row>
    <row r="43" spans="1:6" x14ac:dyDescent="0.4">
      <c r="A43" s="4">
        <v>36.171925000000002</v>
      </c>
      <c r="B43" s="4">
        <v>1.0599038999999999</v>
      </c>
      <c r="C43" s="4">
        <v>1.0341089000000001</v>
      </c>
      <c r="D43" s="4">
        <v>-30.459409000000001</v>
      </c>
      <c r="E43" s="4">
        <f>((-51.3995499/(10/9))+-10.5)+-0.4</f>
        <v>-57.159594909999996</v>
      </c>
      <c r="F43" s="4">
        <f>((-0.40966135*(1.3/1.5))*0.6)-0.3</f>
        <v>-0.51302390200000003</v>
      </c>
    </row>
    <row r="44" spans="1:6" x14ac:dyDescent="0.4">
      <c r="A44" s="4">
        <v>37.046849999999999</v>
      </c>
      <c r="B44" s="4">
        <v>1.0597198000000001</v>
      </c>
      <c r="C44" s="4">
        <v>1.0339882</v>
      </c>
      <c r="D44" s="4">
        <v>-30.462057999999999</v>
      </c>
      <c r="E44" s="4">
        <f>((-51.3592884/(10/9))+-10.5)+-0.4</f>
        <v>-57.123359559999997</v>
      </c>
      <c r="F44" s="4">
        <f>((-0.41084242*(1.3/1.5))*0.6)-0.3</f>
        <v>-0.51363805839999999</v>
      </c>
    </row>
    <row r="45" spans="1:6" x14ac:dyDescent="0.4">
      <c r="A45" s="4">
        <v>37.921775000000004</v>
      </c>
      <c r="B45" s="4">
        <v>1.0600103000000001</v>
      </c>
      <c r="C45" s="4">
        <v>1.0341399</v>
      </c>
      <c r="D45" s="4">
        <v>-30.464684999999999</v>
      </c>
      <c r="E45" s="4">
        <f>((-51.3053829/(10/9))+-10.5)+-0.4</f>
        <v>-57.074844609999992</v>
      </c>
      <c r="F45" s="4">
        <f>((-0.41189077*(1.3/1.5))*0.6)-0.3</f>
        <v>-0.51418320039999998</v>
      </c>
    </row>
    <row r="46" spans="1:6" x14ac:dyDescent="0.4">
      <c r="A46" s="4">
        <v>38.796699999999994</v>
      </c>
      <c r="B46" s="4">
        <v>1.0598080999999999</v>
      </c>
      <c r="C46" s="4">
        <v>1.0339912</v>
      </c>
      <c r="D46" s="4">
        <v>-30.467029</v>
      </c>
      <c r="E46" s="4">
        <f>((-51.2896383/(10/9))+-10.5)+-0.4</f>
        <v>-57.060674469999995</v>
      </c>
      <c r="F46" s="4">
        <f>((-0.41280475*(1.3/1.5))*0.6)-0.3</f>
        <v>-0.51465846999999998</v>
      </c>
    </row>
    <row r="47" spans="1:6" x14ac:dyDescent="0.4">
      <c r="A47" s="4">
        <v>39.671624999999999</v>
      </c>
      <c r="B47" s="4">
        <v>1.0597543</v>
      </c>
      <c r="C47" s="4">
        <v>1.0339782</v>
      </c>
      <c r="D47" s="4">
        <v>-30.468965000000001</v>
      </c>
      <c r="E47" s="4">
        <f>((-51.3626976/(10/9))+-10.5)+-0.4</f>
        <v>-57.126427839999991</v>
      </c>
      <c r="F47" s="4">
        <f>((-0.4136444*(1.3/1.5))*0.6)-0.3</f>
        <v>-0.51509508800000003</v>
      </c>
    </row>
    <row r="48" spans="1:6" x14ac:dyDescent="0.4">
      <c r="A48" s="4">
        <v>40.546550000000003</v>
      </c>
      <c r="B48" s="4">
        <v>1.0600821</v>
      </c>
      <c r="C48" s="4">
        <v>1.0340370000000001</v>
      </c>
      <c r="D48" s="4">
        <v>-30.470701999999999</v>
      </c>
      <c r="E48" s="4">
        <f>((-51.2804997/(10/9))+-10.5)+-0.4</f>
        <v>-57.052449729999999</v>
      </c>
      <c r="F48" s="4">
        <f>((-0.41438159*(1.3/1.5))*0.6)-0.3</f>
        <v>-0.5154784268</v>
      </c>
    </row>
    <row r="49" spans="1:6" x14ac:dyDescent="0.4">
      <c r="A49" s="4">
        <v>41.421475000000001</v>
      </c>
      <c r="B49" s="4">
        <v>1.0599954</v>
      </c>
      <c r="C49" s="4">
        <v>1.0343046</v>
      </c>
      <c r="D49" s="4">
        <v>-30.472384999999999</v>
      </c>
      <c r="E49" s="4">
        <f>((-51.2280567/(10/9))+-10.5)+-0.4</f>
        <v>-57.005251029999997</v>
      </c>
      <c r="F49" s="4">
        <f>((-0.41496119*(1.3/1.5))*0.6)-0.3</f>
        <v>-0.51577981880000001</v>
      </c>
    </row>
    <row r="50" spans="1:6" x14ac:dyDescent="0.4">
      <c r="A50" s="4">
        <v>42.296399999999998</v>
      </c>
      <c r="B50" s="4">
        <v>1.0600449000000001</v>
      </c>
      <c r="C50" s="4">
        <v>1.0341449</v>
      </c>
      <c r="D50" s="4">
        <v>-30.474101000000001</v>
      </c>
      <c r="E50" s="4">
        <f>((-51.1046289/(10/9))+-10.5)+-0.4</f>
        <v>-56.894166009999999</v>
      </c>
      <c r="F50" s="4">
        <f>((-0.41548958*(1.3/1.5))*0.6)-0.3</f>
        <v>-0.51605458159999995</v>
      </c>
    </row>
    <row r="51" spans="1:6" x14ac:dyDescent="0.4">
      <c r="A51" s="4">
        <v>43.171324999999996</v>
      </c>
      <c r="B51" s="4">
        <v>1.0601065000000001</v>
      </c>
      <c r="C51" s="4">
        <v>1.0341402</v>
      </c>
      <c r="D51" s="4">
        <v>-30.475342999999999</v>
      </c>
      <c r="E51" s="4">
        <f>((-51.3482643/(10/9))+-10.5)+-0.4</f>
        <v>-57.113437869999991</v>
      </c>
      <c r="F51" s="4">
        <f>((-0.41597369*(1.3/1.5))*0.6)-0.3</f>
        <v>-0.5163063188</v>
      </c>
    </row>
    <row r="52" spans="1:6" x14ac:dyDescent="0.4">
      <c r="A52" s="4">
        <v>44.046250000000001</v>
      </c>
      <c r="B52" s="4">
        <v>1.0602081999999999</v>
      </c>
      <c r="C52" s="4">
        <v>1.0342492999999999</v>
      </c>
      <c r="D52" s="4">
        <v>-30.476609</v>
      </c>
      <c r="E52" s="4">
        <f>((-51.2905311/(10/9))+-10.5)+-0.4</f>
        <v>-57.06147799</v>
      </c>
      <c r="F52" s="4">
        <f>((-0.41628823*(1.3/1.5))*0.6)-0.3</f>
        <v>-0.51646987960000001</v>
      </c>
    </row>
    <row r="53" spans="1:6" x14ac:dyDescent="0.4">
      <c r="A53" s="4">
        <v>44.921175000000005</v>
      </c>
      <c r="B53" s="4">
        <v>1.0600897</v>
      </c>
      <c r="C53" s="4">
        <v>1.0342709999999999</v>
      </c>
      <c r="D53" s="4">
        <v>-30.477696999999999</v>
      </c>
      <c r="E53" s="4">
        <f>((-51.2409726/(10/9))+-10.5)+-0.4</f>
        <v>-57.016875339999999</v>
      </c>
      <c r="F53" s="4">
        <f>((-0.41645098*(1.3/1.5))*0.6)-0.3</f>
        <v>-0.51655450960000004</v>
      </c>
    </row>
    <row r="54" spans="1:6" x14ac:dyDescent="0.4">
      <c r="A54" s="4">
        <v>45.796099999999996</v>
      </c>
      <c r="B54" s="4">
        <v>1.0602590999999999</v>
      </c>
      <c r="C54" s="4">
        <v>1.0339932000000001</v>
      </c>
      <c r="D54" s="4">
        <v>-30.479095000000001</v>
      </c>
      <c r="E54" s="4">
        <f>((-51.255018/(10/9))+-10.5)+-0.4</f>
        <v>-57.029516199999996</v>
      </c>
      <c r="F54" s="4">
        <f>((-0.41654608*(1.3/1.5))*0.6)-0.3</f>
        <v>-0.51660396159999999</v>
      </c>
    </row>
    <row r="55" spans="1:6" x14ac:dyDescent="0.4">
      <c r="A55" s="4">
        <v>46.671025</v>
      </c>
      <c r="B55" s="4">
        <v>1.0601609000000001</v>
      </c>
      <c r="C55" s="4">
        <v>1.0340415999999999</v>
      </c>
      <c r="D55" s="4">
        <v>-30.479924</v>
      </c>
      <c r="E55" s="4">
        <f>((-51.3043362/(10/9))+-10.5)+-0.4</f>
        <v>-57.073902579999995</v>
      </c>
      <c r="F55" s="4">
        <f>((-0.41651177*(1.3/1.5))*0.6)-0.3</f>
        <v>-0.51658612039999996</v>
      </c>
    </row>
    <row r="56" spans="1:6" x14ac:dyDescent="0.4">
      <c r="A56" s="4">
        <v>47.545949999999998</v>
      </c>
      <c r="B56" s="4">
        <v>1.0602266</v>
      </c>
      <c r="C56" s="4">
        <v>1.0340927</v>
      </c>
      <c r="D56" s="4">
        <v>-30.480767</v>
      </c>
      <c r="E56" s="4">
        <f>((-51.2864289/(10/9))+-10.5)+-0.4</f>
        <v>-57.057786009999994</v>
      </c>
      <c r="F56" s="4">
        <f>((-0.41637766*(1.3/1.5))*0.6)-0.3</f>
        <v>-0.51651638319999993</v>
      </c>
    </row>
    <row r="57" spans="1:6" x14ac:dyDescent="0.4">
      <c r="A57" s="4">
        <v>48.420875000000002</v>
      </c>
      <c r="B57" s="4">
        <v>1.0601817</v>
      </c>
      <c r="C57" s="4">
        <v>1.0340548000000001</v>
      </c>
      <c r="D57" s="4">
        <v>-30.481334</v>
      </c>
      <c r="E57" s="4">
        <f>((-51.0907932/(10/9))+-10.5)+-0.4</f>
        <v>-56.88171388</v>
      </c>
      <c r="F57" s="4">
        <f>((-0.41619235*(1.3/1.5))*0.6)-0.3</f>
        <v>-0.51642002199999992</v>
      </c>
    </row>
    <row r="58" spans="1:6" x14ac:dyDescent="0.4">
      <c r="A58" s="4">
        <v>49.2958</v>
      </c>
      <c r="B58" s="4">
        <v>1.0603275000000001</v>
      </c>
      <c r="C58" s="4">
        <v>1.0338752</v>
      </c>
      <c r="D58" s="4">
        <v>-30.481947999999999</v>
      </c>
      <c r="E58" s="4">
        <f>((-51.2798607/(10/9))+-10.5)+-0.4</f>
        <v>-57.05187463</v>
      </c>
      <c r="F58" s="4">
        <f>((-0.41603595*(1.3/1.5))*0.6)-0.3</f>
        <v>-0.51633869399999999</v>
      </c>
    </row>
    <row r="59" spans="1:6" x14ac:dyDescent="0.4">
      <c r="A59" s="4">
        <v>50.170724999999997</v>
      </c>
      <c r="B59" s="4">
        <v>1.0603663999999999</v>
      </c>
      <c r="C59" s="4">
        <v>1.0340872999999999</v>
      </c>
      <c r="D59" s="4">
        <v>-30.482551000000001</v>
      </c>
      <c r="E59" s="4">
        <f>((-51.1844715/(10/9))+-10.5)+-0.4</f>
        <v>-56.966024349999998</v>
      </c>
      <c r="F59" s="4">
        <f>((-0.41589883*(1.3/1.5))*0.6)-0.3</f>
        <v>-0.51626739160000001</v>
      </c>
    </row>
    <row r="60" spans="1:6" x14ac:dyDescent="0.4">
      <c r="A60" s="4">
        <v>51.045650000000002</v>
      </c>
      <c r="B60" s="4">
        <v>1.0605450999999999</v>
      </c>
      <c r="C60" s="4">
        <v>1.0340718</v>
      </c>
      <c r="D60" s="4">
        <v>-30.483374999999999</v>
      </c>
      <c r="E60" s="4">
        <f>((-51.3648162/(10/9))+-10.5)+-0.4</f>
        <v>-57.128334579999994</v>
      </c>
      <c r="F60" s="4">
        <f>((-0.41568667*(1.3/1.5))*0.6)-0.3</f>
        <v>-0.51615706839999997</v>
      </c>
    </row>
    <row r="61" spans="1:6" x14ac:dyDescent="0.4">
      <c r="A61" s="4">
        <v>51.920574999999999</v>
      </c>
      <c r="B61" s="4">
        <v>1.0606129</v>
      </c>
      <c r="C61" s="4">
        <v>1.0342249999999999</v>
      </c>
      <c r="D61" s="4">
        <v>-30.484081</v>
      </c>
      <c r="E61" s="4">
        <f>((-51.3728397/(10/9))+-10.5)+-0.4</f>
        <v>-57.13555573</v>
      </c>
      <c r="F61" s="4">
        <f>((-0.41549888*(1.3/1.5))*0.6)-0.3</f>
        <v>-0.51605941759999996</v>
      </c>
    </row>
    <row r="62" spans="1:6" x14ac:dyDescent="0.4">
      <c r="A62" s="4">
        <v>52.795499999999997</v>
      </c>
      <c r="B62" s="4">
        <v>1.0607162000000001</v>
      </c>
      <c r="C62" s="4">
        <v>1.0343534999999999</v>
      </c>
      <c r="D62" s="4">
        <v>-30.484335999999999</v>
      </c>
      <c r="E62" s="4">
        <f>((-51.2504514/(10/9))+-10.5)+-0.4</f>
        <v>-57.025406259999997</v>
      </c>
      <c r="F62" s="4">
        <f>((-0.41515055*(1.3/1.5))*0.6)-0.3</f>
        <v>-0.51587828599999996</v>
      </c>
    </row>
    <row r="63" spans="1:6" x14ac:dyDescent="0.4">
      <c r="A63" s="4">
        <v>53.670425000000002</v>
      </c>
      <c r="B63" s="4">
        <v>1.0607679000000001</v>
      </c>
      <c r="C63" s="4">
        <v>1.0343332000000001</v>
      </c>
      <c r="D63" s="4">
        <v>-30.485164000000001</v>
      </c>
      <c r="E63" s="4">
        <f>((-51.2683803/(10/9))+-10.5)+-0.4</f>
        <v>-57.041542269999994</v>
      </c>
      <c r="F63" s="4">
        <f>((-0.41484702*(1.3/1.5))*0.6)-0.3</f>
        <v>-0.51572045040000003</v>
      </c>
    </row>
    <row r="64" spans="1:6" x14ac:dyDescent="0.4">
      <c r="A64" s="4">
        <v>54.545349999999999</v>
      </c>
      <c r="B64" s="4">
        <v>1.0606248</v>
      </c>
      <c r="C64" s="4">
        <v>1.0343348999999999</v>
      </c>
      <c r="D64" s="4">
        <v>-30.486155999999998</v>
      </c>
      <c r="E64" s="4">
        <f>((-51.1470081/(10/9))+-10.5)+-0.4</f>
        <v>-56.932307289999997</v>
      </c>
      <c r="F64" s="4">
        <f>((-0.41467077*(1.3/1.5))*0.6)-0.3</f>
        <v>-0.51562880040000003</v>
      </c>
    </row>
    <row r="65" spans="1:6" x14ac:dyDescent="0.4">
      <c r="A65" s="4">
        <v>55.420275000000004</v>
      </c>
      <c r="B65" s="4">
        <v>1.0607226999999999</v>
      </c>
      <c r="C65" s="4">
        <v>1.0342236</v>
      </c>
      <c r="D65" s="4">
        <v>-30.486795000000001</v>
      </c>
      <c r="E65" s="4">
        <f>((-51.0443586/(10/9))+-10.5)+-0.4</f>
        <v>-56.839922739999999</v>
      </c>
      <c r="F65" s="4">
        <f>((-0.41438416*(1.3/1.5))*0.6)-0.3</f>
        <v>-0.5154797632</v>
      </c>
    </row>
    <row r="66" spans="1:6" x14ac:dyDescent="0.4">
      <c r="A66" s="4">
        <v>56.295199999999994</v>
      </c>
      <c r="B66" s="4">
        <v>1.0608006999999999</v>
      </c>
      <c r="C66" s="4">
        <v>1.0344275000000001</v>
      </c>
      <c r="D66" s="4">
        <v>-30.487603</v>
      </c>
      <c r="E66" s="4">
        <f>((-51.0511455/(10/9))+-10.5)+-0.4</f>
        <v>-56.846030949999992</v>
      </c>
      <c r="F66" s="4">
        <f>((-0.41423133*(1.3/1.5))*0.6)-0.3</f>
        <v>-0.5154002916</v>
      </c>
    </row>
    <row r="67" spans="1:6" x14ac:dyDescent="0.4">
      <c r="A67" s="4">
        <v>57.170124999999999</v>
      </c>
      <c r="B67" s="4">
        <v>1.0605644999999999</v>
      </c>
      <c r="C67" s="4">
        <v>1.0341662</v>
      </c>
      <c r="D67" s="4">
        <v>-30.488081999999999</v>
      </c>
      <c r="E67" s="4">
        <f>((-51.1853436/(10/9))+-10.5)+-0.4</f>
        <v>-56.966809239999996</v>
      </c>
      <c r="F67" s="4">
        <f>((-0.41397995*(1.3/1.5))*0.6)-0.3</f>
        <v>-0.51526957399999995</v>
      </c>
    </row>
    <row r="68" spans="1:6" x14ac:dyDescent="0.4">
      <c r="A68" s="4">
        <v>58.045050000000003</v>
      </c>
      <c r="B68" s="4">
        <v>1.0607127999999999</v>
      </c>
      <c r="C68" s="4">
        <v>1.0342914000000001</v>
      </c>
      <c r="D68" s="4">
        <v>-30.488758999999998</v>
      </c>
      <c r="E68" s="4">
        <f>((-51.1022115/(10/9))+-10.5)+-0.4</f>
        <v>-56.89199035</v>
      </c>
      <c r="F68" s="4">
        <f>((-0.41376862*(1.3/1.5))*0.6)-0.3</f>
        <v>-0.51515968239999999</v>
      </c>
    </row>
    <row r="69" spans="1:6" x14ac:dyDescent="0.4">
      <c r="A69" s="4">
        <v>58.919975000000001</v>
      </c>
      <c r="B69" s="4">
        <v>1.0605732000000001</v>
      </c>
      <c r="C69" s="4">
        <v>1.034348</v>
      </c>
      <c r="D69" s="4">
        <v>-30.489404</v>
      </c>
      <c r="E69" s="4">
        <f>((-51.2335431/(10/9))+-10.5)+-0.4</f>
        <v>-57.010188789999994</v>
      </c>
      <c r="F69" s="4">
        <f>((-0.41352019*(1.3/1.5))*0.6)-0.3</f>
        <v>-0.51503049879999996</v>
      </c>
    </row>
    <row r="70" spans="1:6" x14ac:dyDescent="0.4">
      <c r="A70" s="4">
        <v>59.794899999999998</v>
      </c>
      <c r="B70" s="4">
        <v>1.0607873999999999</v>
      </c>
      <c r="C70" s="4">
        <v>1.0344331</v>
      </c>
      <c r="D70" s="4">
        <v>-30.489975999999999</v>
      </c>
      <c r="E70" s="4">
        <f>((-51.202548/(10/9))+-10.5)+-0.4</f>
        <v>-56.982293199999994</v>
      </c>
      <c r="F70" s="4">
        <f>((-0.41329151*(1.3/1.5))*0.6)-0.3</f>
        <v>-0.51491158519999991</v>
      </c>
    </row>
    <row r="71" spans="1:6" x14ac:dyDescent="0.4">
      <c r="A71" s="4">
        <v>60.669824999999996</v>
      </c>
      <c r="B71" s="4">
        <v>1.0606975999999999</v>
      </c>
      <c r="C71" s="4">
        <v>1.0344443000000001</v>
      </c>
      <c r="D71" s="4">
        <v>-30.490638000000001</v>
      </c>
      <c r="E71" s="4">
        <f>((-51.3911043/(10/9))+-10.5)+-0.4</f>
        <v>-57.151993869999998</v>
      </c>
      <c r="F71" s="4">
        <f>((-0.4130722*(1.3/1.5))*0.6)-0.3</f>
        <v>-0.514797544</v>
      </c>
    </row>
    <row r="72" spans="1:6" x14ac:dyDescent="0.4">
      <c r="A72" s="4">
        <v>61.544750000000001</v>
      </c>
      <c r="B72" s="4">
        <v>1.0607244</v>
      </c>
      <c r="C72" s="4">
        <v>1.0343484000000001</v>
      </c>
      <c r="D72" s="4">
        <v>-30.491208</v>
      </c>
      <c r="E72" s="4">
        <f>((-51.0673374/(10/9))+-10.5)+-0.4</f>
        <v>-56.860603659999995</v>
      </c>
      <c r="F72" s="4">
        <f>((-0.41287583*(1.3/1.5))*0.6)-0.3</f>
        <v>-0.51469543159999998</v>
      </c>
    </row>
    <row r="73" spans="1:6" x14ac:dyDescent="0.4">
      <c r="A73" s="4">
        <v>62.419675000000005</v>
      </c>
      <c r="B73" s="4">
        <v>1.0608740999999999</v>
      </c>
      <c r="C73" s="4">
        <v>1.0345063000000001</v>
      </c>
      <c r="D73" s="4">
        <v>-30.491765000000001</v>
      </c>
      <c r="E73" s="4">
        <f>((-51.1084566/(10/9))+-10.5)+-0.4</f>
        <v>-56.897610939999993</v>
      </c>
      <c r="F73" s="4">
        <f>((-0.41266581*(1.3/1.5))*0.6)-0.3</f>
        <v>-0.51458622119999997</v>
      </c>
    </row>
    <row r="74" spans="1:6" x14ac:dyDescent="0.4">
      <c r="A74" s="4">
        <v>63.294599999999996</v>
      </c>
      <c r="B74" s="4">
        <v>1.0609069</v>
      </c>
      <c r="C74" s="4">
        <v>1.0344826</v>
      </c>
      <c r="D74" s="4">
        <v>-30.492175</v>
      </c>
      <c r="E74" s="4">
        <f>((-50.9717358/(10/9))+-10.5)+-0.4</f>
        <v>-56.774562219999993</v>
      </c>
      <c r="F74" s="4">
        <f>((-0.41243297*(1.3/1.5))*0.6)-0.3</f>
        <v>-0.51446514440000002</v>
      </c>
    </row>
    <row r="75" spans="1:6" x14ac:dyDescent="0.4">
      <c r="A75" s="4">
        <v>64.169525000000007</v>
      </c>
      <c r="B75" s="4">
        <v>1.0608344999999999</v>
      </c>
      <c r="C75" s="4">
        <v>1.0345165999999999</v>
      </c>
      <c r="D75" s="4">
        <v>-30.492925</v>
      </c>
      <c r="E75" s="4">
        <f>((-51.1107363/(10/9))+-10.5)+-0.4</f>
        <v>-56.899662669999998</v>
      </c>
      <c r="F75" s="4">
        <f>((-0.41214621*(1.3/1.5))*0.6)-0.3</f>
        <v>-0.51431602919999997</v>
      </c>
    </row>
    <row r="76" spans="1:6" x14ac:dyDescent="0.4">
      <c r="A76" s="4">
        <v>65.044449999999998</v>
      </c>
      <c r="B76" s="4">
        <v>1.0609663</v>
      </c>
      <c r="C76" s="4">
        <v>1.0343694999999999</v>
      </c>
      <c r="D76" s="4">
        <v>-30.493638000000001</v>
      </c>
      <c r="E76" s="4">
        <f>((-50.8568805/(10/9))+-10.5)+-0.4</f>
        <v>-56.671192449999999</v>
      </c>
      <c r="F76" s="4">
        <f>((-0.41187328*(1.3/1.5))*0.6)-0.3</f>
        <v>-0.51417410559999999</v>
      </c>
    </row>
    <row r="77" spans="1:6" x14ac:dyDescent="0.4">
      <c r="A77" s="4">
        <v>65.919375000000002</v>
      </c>
      <c r="B77" s="4">
        <v>1.0610852</v>
      </c>
      <c r="C77" s="4">
        <v>1.0345588999999999</v>
      </c>
      <c r="D77" s="4">
        <v>-30.494260000000001</v>
      </c>
      <c r="E77" s="4">
        <f>((-50.8780395/(10/9))+-10.5)+-0.4</f>
        <v>-56.690235549999997</v>
      </c>
      <c r="F77" s="4">
        <f>((-0.41166955*(1.3/1.5))*0.6)-0.3</f>
        <v>-0.51406816599999994</v>
      </c>
    </row>
    <row r="78" spans="1:6" x14ac:dyDescent="0.4">
      <c r="A78" s="4">
        <v>66.794300000000007</v>
      </c>
      <c r="B78" s="4">
        <v>1.0609189999999999</v>
      </c>
      <c r="C78" s="4">
        <v>1.0346446</v>
      </c>
      <c r="D78" s="4">
        <v>-30.494329</v>
      </c>
      <c r="E78" s="4">
        <f>((-50.8123476/(10/9))+-10.5)+-0.4</f>
        <v>-56.63111284</v>
      </c>
      <c r="F78" s="4">
        <f>((-0.41136122*(1.3/1.5))*0.6)-0.3</f>
        <v>-0.51390783439999999</v>
      </c>
    </row>
    <row r="79" spans="1:6" x14ac:dyDescent="0.4">
      <c r="A79" s="4">
        <v>67.669225000000012</v>
      </c>
      <c r="B79" s="4">
        <v>1.0606606000000001</v>
      </c>
      <c r="C79" s="4">
        <v>1.0345698999999999</v>
      </c>
      <c r="D79" s="4">
        <v>-30.494758000000001</v>
      </c>
      <c r="E79" s="4">
        <f>((-51.1042473/(10/9))+-10.5)+-0.4</f>
        <v>-56.893822569999998</v>
      </c>
      <c r="F79" s="4">
        <f>((-0.41107169*(1.3/1.5))*0.6)-0.3</f>
        <v>-0.51375727879999999</v>
      </c>
    </row>
    <row r="80" spans="1:6" x14ac:dyDescent="0.4">
      <c r="A80" s="4">
        <v>68.544149999999988</v>
      </c>
      <c r="B80" s="4">
        <v>1.0607774000000001</v>
      </c>
      <c r="C80" s="4">
        <v>1.0345021000000001</v>
      </c>
      <c r="D80" s="4">
        <v>-30.495265</v>
      </c>
      <c r="E80" s="4">
        <f>((-51.1423632/(10/9))+-10.5)+-0.4</f>
        <v>-56.928126879999994</v>
      </c>
      <c r="F80" s="4">
        <f>((-0.41085222*(1.3/1.5))*0.6)-0.3</f>
        <v>-0.51364315439999997</v>
      </c>
    </row>
    <row r="81" spans="1:6" x14ac:dyDescent="0.4">
      <c r="A81" s="4">
        <v>69.419074999999992</v>
      </c>
      <c r="B81" s="4">
        <v>1.0609276999999999</v>
      </c>
      <c r="C81" s="4">
        <v>1.0344768</v>
      </c>
      <c r="D81" s="4">
        <v>-30.495349000000001</v>
      </c>
      <c r="E81" s="4">
        <f>((-51.1580052/(10/9))+-10.5)+-0.4</f>
        <v>-56.942204679999996</v>
      </c>
      <c r="F81" s="4">
        <f>((-0.41064379*(1.3/1.5))*0.6)-0.3</f>
        <v>-0.51353477079999998</v>
      </c>
    </row>
    <row r="82" spans="1:6" x14ac:dyDescent="0.4">
      <c r="A82" s="4">
        <v>70.293999999999997</v>
      </c>
      <c r="B82" s="4">
        <v>1.0610888999999999</v>
      </c>
      <c r="C82" s="4">
        <v>1.0347933</v>
      </c>
      <c r="D82" s="4">
        <v>-30.495598999999999</v>
      </c>
      <c r="E82" s="4">
        <f>((-50.9469444/(10/9))+-10.5)+-0.4</f>
        <v>-56.752249959999993</v>
      </c>
      <c r="F82" s="4">
        <f>((-0.41040993*(1.3/1.5))*0.6)-0.3</f>
        <v>-0.5134131636</v>
      </c>
    </row>
    <row r="83" spans="1:6" x14ac:dyDescent="0.4">
      <c r="A83" s="4">
        <v>71.168925000000002</v>
      </c>
      <c r="B83" s="4">
        <v>1.0611187</v>
      </c>
      <c r="C83" s="4">
        <v>1.0347792</v>
      </c>
      <c r="D83" s="4">
        <v>-30.495940000000001</v>
      </c>
      <c r="E83" s="4">
        <f>((-51.1074333/(10/9))+-10.5)+-0.4</f>
        <v>-56.896689969999997</v>
      </c>
      <c r="F83" s="4">
        <f>((-0.4101789*(1.3/1.5))*0.6)-0.3</f>
        <v>-0.51329302799999998</v>
      </c>
    </row>
    <row r="84" spans="1:6" x14ac:dyDescent="0.4">
      <c r="A84" s="4">
        <v>72.043850000000006</v>
      </c>
      <c r="B84" s="4">
        <v>1.0611657000000001</v>
      </c>
      <c r="C84" s="4">
        <v>1.0347416</v>
      </c>
      <c r="D84" s="4">
        <v>-30.496399999999998</v>
      </c>
      <c r="E84" s="4">
        <f>((-51.1313148/(10/9))+-10.5)+-0.4</f>
        <v>-56.918183319999997</v>
      </c>
      <c r="F84" s="4">
        <f>((-0.40993419*(1.3/1.5))*0.6)-0.3</f>
        <v>-0.51316577879999992</v>
      </c>
    </row>
    <row r="85" spans="1:6" x14ac:dyDescent="0.4">
      <c r="A85" s="4">
        <v>72.918774999999997</v>
      </c>
      <c r="B85" s="4">
        <v>1.0611478000000001</v>
      </c>
      <c r="C85" s="4">
        <v>1.0349041000000001</v>
      </c>
      <c r="D85" s="4">
        <v>-30.496430999999998</v>
      </c>
      <c r="E85" s="4">
        <f>((-50.8064391/(10/9))+-10.5)+-0.4</f>
        <v>-56.625795189999998</v>
      </c>
      <c r="F85" s="4">
        <f>((-0.40961978*(1.3/1.5))*0.6)-0.3</f>
        <v>-0.51300228559999994</v>
      </c>
    </row>
    <row r="86" spans="1:6" x14ac:dyDescent="0.4">
      <c r="A86" s="4">
        <v>73.793700000000001</v>
      </c>
      <c r="B86" s="4">
        <v>1.0611748000000001</v>
      </c>
      <c r="C86" s="4">
        <v>1.0348743</v>
      </c>
      <c r="D86" s="4">
        <v>-30.49727</v>
      </c>
      <c r="E86" s="4">
        <f>((-50.9742414/(10/9))+-10.5)+-0.4</f>
        <v>-56.776817259999994</v>
      </c>
      <c r="F86" s="4">
        <f>((-0.4093858*(1.3/1.5))*0.6)-0.3</f>
        <v>-0.51288061600000001</v>
      </c>
    </row>
    <row r="87" spans="1:6" x14ac:dyDescent="0.4">
      <c r="A87" s="4">
        <v>74.668625000000006</v>
      </c>
      <c r="B87" s="4">
        <v>1.0611017</v>
      </c>
      <c r="C87" s="4">
        <v>1.0348727</v>
      </c>
      <c r="D87" s="4">
        <v>-30.497669999999999</v>
      </c>
      <c r="E87" s="4">
        <f>((-51.0024906/(10/9))+-10.5)+-0.4</f>
        <v>-56.802241539999997</v>
      </c>
      <c r="F87" s="4">
        <f>((-0.40916169*(1.3/1.5))*0.6)-0.3</f>
        <v>-0.51276407880000008</v>
      </c>
    </row>
    <row r="88" spans="1:6" x14ac:dyDescent="0.4">
      <c r="A88" s="4">
        <v>75.543549999999996</v>
      </c>
      <c r="B88" s="4">
        <v>1.0611892999999999</v>
      </c>
      <c r="C88" s="4">
        <v>1.0350174000000001</v>
      </c>
      <c r="D88" s="4">
        <v>-30.498377999999999</v>
      </c>
      <c r="E88" s="4">
        <f>((-50.9283189/(10/9))+-10.5)+-0.4</f>
        <v>-56.73548701</v>
      </c>
      <c r="F88" s="4">
        <f>((-0.40888989*(1.3/1.5))*0.6)-0.3</f>
        <v>-0.51262274279999998</v>
      </c>
    </row>
    <row r="89" spans="1:6" x14ac:dyDescent="0.4">
      <c r="A89" s="4">
        <v>76.418475000000001</v>
      </c>
      <c r="B89" s="4">
        <v>1.0612268</v>
      </c>
      <c r="C89" s="4">
        <v>1.0349094000000001</v>
      </c>
      <c r="D89" s="4">
        <v>-30.498808999999998</v>
      </c>
      <c r="E89" s="4">
        <f>((-51.0607107/(10/9))+-10.5)+-0.4</f>
        <v>-56.854639630000001</v>
      </c>
      <c r="F89" s="4">
        <f>((-0.40855998*(1.3/1.5))*0.6)-0.3</f>
        <v>-0.51245118959999991</v>
      </c>
    </row>
    <row r="90" spans="1:6" x14ac:dyDescent="0.4">
      <c r="A90" s="4">
        <v>77.293399999999991</v>
      </c>
      <c r="B90" s="4">
        <v>1.0614059</v>
      </c>
      <c r="C90" s="4">
        <v>1.0348796</v>
      </c>
      <c r="D90" s="4">
        <v>-30.499057000000001</v>
      </c>
      <c r="E90" s="4">
        <f>((-50.9049045/(10/9))+-10.5)+-0.4</f>
        <v>-56.714414049999995</v>
      </c>
      <c r="F90" s="4">
        <f>((-0.40826043*(1.3/1.5))*0.6)-0.3</f>
        <v>-0.51229542360000002</v>
      </c>
    </row>
    <row r="91" spans="1:6" x14ac:dyDescent="0.4">
      <c r="A91" s="4">
        <v>78.168324999999996</v>
      </c>
      <c r="B91" s="4">
        <v>1.0612656</v>
      </c>
      <c r="C91" s="4">
        <v>1.0350903</v>
      </c>
      <c r="D91" s="4">
        <v>-30.499175000000001</v>
      </c>
      <c r="E91" s="4">
        <f>((-50.9043888/(10/9))+-10.5)+-0.4</f>
        <v>-56.713949919999997</v>
      </c>
      <c r="F91" s="4">
        <f>((-0.40794721*(1.3/1.5))*0.6)-0.3</f>
        <v>-0.51213254919999995</v>
      </c>
    </row>
    <row r="92" spans="1:6" x14ac:dyDescent="0.4">
      <c r="A92" s="4">
        <v>79.04325</v>
      </c>
      <c r="B92" s="4">
        <v>1.0612334999999999</v>
      </c>
      <c r="C92" s="4">
        <v>1.0349834</v>
      </c>
      <c r="D92" s="4">
        <v>-30.499527999999998</v>
      </c>
      <c r="E92" s="4">
        <f>((-50.8827258/(10/9))+-10.5)+-0.4</f>
        <v>-56.69445322</v>
      </c>
      <c r="F92" s="4">
        <f>((-0.40769097*(1.3/1.5))*0.6)-0.3</f>
        <v>-0.51199930439999997</v>
      </c>
    </row>
    <row r="93" spans="1:6" x14ac:dyDescent="0.4">
      <c r="A93" s="4">
        <v>79.918175000000005</v>
      </c>
      <c r="B93" s="4">
        <v>1.0611404</v>
      </c>
      <c r="C93" s="4">
        <v>1.0352705</v>
      </c>
      <c r="D93" s="4">
        <v>-30.499922999999999</v>
      </c>
      <c r="E93" s="4">
        <f>((-50.8175937/(10/9))+-10.5)+-0.4</f>
        <v>-56.635834330000002</v>
      </c>
      <c r="F93" s="4">
        <f>((-0.40736097*(1.3/1.5))*0.6)-0.3</f>
        <v>-0.51182770439999992</v>
      </c>
    </row>
    <row r="94" spans="1:6" x14ac:dyDescent="0.4">
      <c r="A94" s="4">
        <v>80.79310000000001</v>
      </c>
      <c r="B94" s="4">
        <v>1.0613157</v>
      </c>
      <c r="C94" s="4">
        <v>1.0351771999999999</v>
      </c>
      <c r="D94" s="4">
        <v>-30.498925</v>
      </c>
      <c r="E94" s="4">
        <f>((-50.9179302/(10/9))+-10.5)+-0.4</f>
        <v>-56.726137179999995</v>
      </c>
      <c r="F94" s="4">
        <f>((-0.40703747*(1.3/1.5))*0.6)-0.3</f>
        <v>-0.51165948439999998</v>
      </c>
    </row>
    <row r="95" spans="1:6" x14ac:dyDescent="0.4">
      <c r="A95" s="4">
        <v>81.668025</v>
      </c>
      <c r="B95" s="4">
        <v>1.0616456000000001</v>
      </c>
      <c r="C95" s="4">
        <v>1.0352526</v>
      </c>
      <c r="D95" s="4">
        <v>-30.499395</v>
      </c>
      <c r="E95" s="4">
        <f>((-50.7390795/(10/9))+-10.5)+-0.4</f>
        <v>-56.565171550000002</v>
      </c>
      <c r="F95" s="4">
        <f>((-0.40674821*(1.3/1.5))*0.6)-0.3</f>
        <v>-0.51150906919999994</v>
      </c>
    </row>
    <row r="96" spans="1:6" x14ac:dyDescent="0.4">
      <c r="A96" s="4">
        <v>82.54294999999999</v>
      </c>
      <c r="B96" s="4">
        <v>1.0615399000000001</v>
      </c>
      <c r="C96" s="4">
        <v>1.0352393</v>
      </c>
      <c r="D96" s="4">
        <v>-30.499866000000001</v>
      </c>
      <c r="E96" s="4">
        <f>((-50.655933/(10/9))+-10.5)+-0.4</f>
        <v>-56.490339699999993</v>
      </c>
      <c r="F96" s="4">
        <f>((-0.40646479*(1.3/1.5))*0.6)-0.3</f>
        <v>-0.51136169080000005</v>
      </c>
    </row>
    <row r="97" spans="1:6" x14ac:dyDescent="0.4">
      <c r="A97" s="4">
        <v>83.417874999999995</v>
      </c>
      <c r="B97" s="4">
        <v>1.0615338999999999</v>
      </c>
      <c r="C97" s="4">
        <v>1.0352524999999999</v>
      </c>
      <c r="D97" s="4">
        <v>-30.500147999999999</v>
      </c>
      <c r="E97" s="4">
        <f>((-50.5347714/(10/9))+-10.5)+-0.4</f>
        <v>-56.381294259999997</v>
      </c>
      <c r="F97" s="4">
        <f>((-0.40619773*(1.3/1.5))*0.6)-0.3</f>
        <v>-0.51122281959999993</v>
      </c>
    </row>
    <row r="98" spans="1:6" x14ac:dyDescent="0.4">
      <c r="A98" s="4">
        <v>84.2928</v>
      </c>
      <c r="B98" s="4">
        <v>1.0614688000000001</v>
      </c>
      <c r="C98" s="4">
        <v>1.0353772999999999</v>
      </c>
      <c r="D98" s="4">
        <v>-30.500671000000001</v>
      </c>
      <c r="E98" s="4">
        <f>((-50.9606568/(10/9))+-10.5)+-0.4</f>
        <v>-56.764591119999999</v>
      </c>
      <c r="F98" s="4">
        <f>((-0.40591612*(1.3/1.5))*0.6)-0.3</f>
        <v>-0.51107638239999997</v>
      </c>
    </row>
    <row r="99" spans="1:6" x14ac:dyDescent="0.4">
      <c r="A99" s="4">
        <v>85.167725000000004</v>
      </c>
      <c r="B99" s="4">
        <v>1.061604</v>
      </c>
      <c r="C99" s="4">
        <v>1.0354561</v>
      </c>
      <c r="D99" s="4">
        <v>-30.500786999999999</v>
      </c>
      <c r="E99" s="4">
        <f>((-50.8191867/(10/9))+-10.5)+-0.4</f>
        <v>-56.637268030000001</v>
      </c>
      <c r="F99" s="4">
        <f>((-0.40568975*(1.3/1.5))*0.6)-0.3</f>
        <v>-0.51095866999999995</v>
      </c>
    </row>
    <row r="100" spans="1:6" x14ac:dyDescent="0.4">
      <c r="A100" s="4">
        <v>86.042649999999995</v>
      </c>
      <c r="B100" s="4">
        <v>1.0616353999999999</v>
      </c>
      <c r="C100" s="4">
        <v>1.0354519</v>
      </c>
      <c r="D100" s="4">
        <v>-30.501186000000001</v>
      </c>
      <c r="E100" s="4">
        <f>((-50.7752487/(10/9))+-10.5)+-0.4</f>
        <v>-56.597723829999993</v>
      </c>
      <c r="F100" s="4">
        <f>((-0.40536365*(1.3/1.5))*0.6)-0.3</f>
        <v>-0.51078909800000005</v>
      </c>
    </row>
    <row r="101" spans="1:6" x14ac:dyDescent="0.4">
      <c r="A101" s="4">
        <v>86.917574999999999</v>
      </c>
      <c r="B101" s="4">
        <v>1.0617375</v>
      </c>
      <c r="C101" s="4">
        <v>1.0354658000000001</v>
      </c>
      <c r="D101" s="4">
        <v>-30.501339999999999</v>
      </c>
      <c r="E101" s="4">
        <f>((-50.8118256/(10/9))+-10.5)+-0.4</f>
        <v>-56.630643039999995</v>
      </c>
      <c r="F101" s="4">
        <f>((-0.40502962*(1.3/1.5))*0.6)-0.3</f>
        <v>-0.51061540240000003</v>
      </c>
    </row>
    <row r="102" spans="1:6" x14ac:dyDescent="0.4">
      <c r="A102" s="4">
        <v>87.792500000000004</v>
      </c>
      <c r="B102" s="4">
        <v>1.0615728</v>
      </c>
      <c r="C102" s="4">
        <v>1.0354196</v>
      </c>
      <c r="D102" s="4">
        <v>-30.501991999999998</v>
      </c>
      <c r="E102" s="4">
        <f>((-50.5599057/(10/9))+-10.5)+-0.4</f>
        <v>-56.403915130000001</v>
      </c>
      <c r="F102" s="4">
        <f>((-0.40475339*(1.3/1.5))*0.6)-0.3</f>
        <v>-0.51047176279999995</v>
      </c>
    </row>
    <row r="103" spans="1:6" x14ac:dyDescent="0.4">
      <c r="A103" s="4">
        <v>88.667425000000009</v>
      </c>
      <c r="B103" s="4">
        <v>1.0616226</v>
      </c>
      <c r="C103" s="4">
        <v>1.0353794000000001</v>
      </c>
      <c r="D103" s="4">
        <v>-30.501479</v>
      </c>
      <c r="E103" s="4">
        <f>((-50.9036409/(10/9))+-10.5)+-0.4</f>
        <v>-56.713276809999996</v>
      </c>
      <c r="F103" s="4">
        <f>((-0.40447578*(1.3/1.5))*0.6)-0.3</f>
        <v>-0.51032740560000001</v>
      </c>
    </row>
    <row r="104" spans="1:6" x14ac:dyDescent="0.4">
      <c r="A104" s="4">
        <v>89.542349999999999</v>
      </c>
      <c r="B104" s="4">
        <v>1.0615612000000001</v>
      </c>
      <c r="C104" s="4">
        <v>1.0353264</v>
      </c>
      <c r="D104" s="4">
        <v>-30.501805000000001</v>
      </c>
      <c r="E104" s="4">
        <f>((-50.6820186/(10/9))+-10.5)+-0.4</f>
        <v>-56.513816739999996</v>
      </c>
      <c r="F104" s="4">
        <f>((-0.40415114*(1.3/1.5))*0.6)-0.3</f>
        <v>-0.51015859279999998</v>
      </c>
    </row>
    <row r="105" spans="1:6" x14ac:dyDescent="0.4">
      <c r="A105" s="4">
        <v>90.417274999999989</v>
      </c>
      <c r="B105" s="4">
        <v>1.0616224999999999</v>
      </c>
      <c r="C105" s="4">
        <v>1.0357736</v>
      </c>
      <c r="D105" s="4">
        <v>-30.502050000000001</v>
      </c>
      <c r="E105" s="4">
        <f>((-50.5219761/(10/9))+-10.5)+-0.4</f>
        <v>-56.369778490000002</v>
      </c>
      <c r="F105" s="4">
        <f>((-0.40386873*(1.3/1.5))*0.6)-0.3</f>
        <v>-0.51001173960000001</v>
      </c>
    </row>
    <row r="106" spans="1:6" x14ac:dyDescent="0.4">
      <c r="A106" s="4">
        <v>91.292199999999994</v>
      </c>
      <c r="B106" s="4">
        <v>1.0621486</v>
      </c>
      <c r="C106" s="4">
        <v>1.0356479000000001</v>
      </c>
      <c r="D106" s="4">
        <v>-30.502680999999999</v>
      </c>
      <c r="E106" s="4">
        <f>((-50.5236033/(10/9))+-10.5)+-0.4</f>
        <v>-56.371242969999997</v>
      </c>
      <c r="F106" s="4">
        <f>((-0.4035663*(1.3/1.5))*0.6)-0.3</f>
        <v>-0.509854476</v>
      </c>
    </row>
    <row r="107" spans="1:6" x14ac:dyDescent="0.4">
      <c r="A107" s="4">
        <v>92.167124999999999</v>
      </c>
      <c r="B107" s="4">
        <v>1.0618401</v>
      </c>
      <c r="C107" s="4">
        <v>1.0356715999999999</v>
      </c>
      <c r="D107" s="4">
        <v>-30.503256999999998</v>
      </c>
      <c r="E107" s="4">
        <f>((-50.7136905/(10/9))+-10.5)+-0.4</f>
        <v>-56.542321449999996</v>
      </c>
      <c r="F107" s="4">
        <f>((-0.40328315*(1.3/1.5))*0.6)-0.3</f>
        <v>-0.50970723799999995</v>
      </c>
    </row>
    <row r="108" spans="1:6" x14ac:dyDescent="0.4">
      <c r="A108" s="4">
        <v>93.042050000000003</v>
      </c>
      <c r="B108" s="4">
        <v>1.061904</v>
      </c>
      <c r="C108" s="4">
        <v>1.0356768000000001</v>
      </c>
      <c r="D108" s="4">
        <v>-30.503726</v>
      </c>
      <c r="E108" s="4">
        <f>((-50.6488059/(10/9))+-10.5)+-0.4</f>
        <v>-56.483925309999997</v>
      </c>
      <c r="F108" s="4">
        <f>((-0.4029946*(1.3/1.5))*0.6)-0.3</f>
        <v>-0.50955719199999994</v>
      </c>
    </row>
    <row r="109" spans="1:6" x14ac:dyDescent="0.4">
      <c r="A109" s="4">
        <v>93.916975000000008</v>
      </c>
      <c r="B109" s="4">
        <v>1.0625319</v>
      </c>
      <c r="C109" s="4">
        <v>1.0355306</v>
      </c>
      <c r="D109" s="4">
        <v>-30.504255000000001</v>
      </c>
      <c r="E109" s="4">
        <f>((-50.5280115/(10/9))+-10.5)+-0.4</f>
        <v>-56.375210349999996</v>
      </c>
      <c r="F109" s="4">
        <f>((-0.40275654*(1.3/1.5))*0.6)-0.3</f>
        <v>-0.50943340079999999</v>
      </c>
    </row>
    <row r="110" spans="1:6" x14ac:dyDescent="0.4">
      <c r="A110" s="4">
        <v>94.791899999999998</v>
      </c>
      <c r="B110" s="4">
        <v>1.0618656</v>
      </c>
      <c r="C110" s="4">
        <v>1.0355771</v>
      </c>
      <c r="D110" s="4">
        <v>-30.504752</v>
      </c>
      <c r="E110" s="4">
        <f>((-50.7700845/(10/9))+-10.5)+-0.4</f>
        <v>-56.593076050000001</v>
      </c>
      <c r="F110" s="4">
        <f>((-0.40245128*(1.3/1.5))*0.6)-0.3</f>
        <v>-0.50927466560000001</v>
      </c>
    </row>
    <row r="111" spans="1:6" x14ac:dyDescent="0.4">
      <c r="A111" s="4">
        <v>95.666825000000003</v>
      </c>
      <c r="B111" s="4">
        <v>1.0619136</v>
      </c>
      <c r="C111" s="4">
        <v>1.0356839</v>
      </c>
      <c r="D111" s="4">
        <v>-30.505033000000001</v>
      </c>
      <c r="E111" s="4">
        <f>((-50.7922497/(10/9))+-10.5)+-0.4</f>
        <v>-56.613024729999999</v>
      </c>
      <c r="F111" s="4">
        <f>((-0.40209359*(1.3/1.5))*0.6)-0.3</f>
        <v>-0.50908866679999998</v>
      </c>
    </row>
    <row r="112" spans="1:6" x14ac:dyDescent="0.4">
      <c r="A112" s="4">
        <v>96.541749999999993</v>
      </c>
      <c r="B112" s="4">
        <v>1.0621092000000001</v>
      </c>
      <c r="C112" s="4">
        <v>1.0357403000000001</v>
      </c>
      <c r="D112" s="4">
        <v>-30.505368000000001</v>
      </c>
      <c r="E112" s="4">
        <f>((-50.6455785/(10/9))+-10.5)+-0.4</f>
        <v>-56.481020649999998</v>
      </c>
      <c r="F112" s="4">
        <f>((-0.40177691*(1.3/1.5))*0.6)-0.3</f>
        <v>-0.50892399320000004</v>
      </c>
    </row>
    <row r="113" spans="1:6" x14ac:dyDescent="0.4">
      <c r="A113" s="4">
        <v>97.416674999999998</v>
      </c>
      <c r="B113" s="4">
        <v>1.0621951000000001</v>
      </c>
      <c r="C113" s="4">
        <v>1.0356662000000001</v>
      </c>
      <c r="D113" s="4">
        <v>-30.505765</v>
      </c>
      <c r="E113" s="4">
        <f>((-50.7383136/(10/9))+-10.5)+-0.4</f>
        <v>-56.564482239999997</v>
      </c>
      <c r="F113" s="4">
        <f>((-0.40152222*(1.3/1.5))*0.6)-0.3</f>
        <v>-0.50879155440000001</v>
      </c>
    </row>
    <row r="114" spans="1:6" x14ac:dyDescent="0.4">
      <c r="A114" s="4">
        <v>98.291600000000003</v>
      </c>
      <c r="B114" s="4">
        <v>1.0620118000000001</v>
      </c>
      <c r="C114" s="4">
        <v>1.0357130000000001</v>
      </c>
      <c r="D114" s="4">
        <v>-30.506086</v>
      </c>
      <c r="E114" s="4">
        <f>((-50.6348361/(10/9))+-10.5)+-0.4</f>
        <v>-56.471352490000001</v>
      </c>
      <c r="F114" s="4">
        <f>((-0.40120038*(1.3/1.5))*0.6)-0.3</f>
        <v>-0.50862419759999999</v>
      </c>
    </row>
    <row r="115" spans="1:6" x14ac:dyDescent="0.4">
      <c r="A115" s="4">
        <v>99.166524999999993</v>
      </c>
      <c r="B115" s="4">
        <v>1.0620928999999999</v>
      </c>
      <c r="C115" s="4">
        <v>1.0358514000000001</v>
      </c>
      <c r="D115" s="4">
        <v>-30.506141</v>
      </c>
      <c r="E115" s="4">
        <f>((-50.5445805/(10/9))+-10.5)+-0.4</f>
        <v>-56.39012245</v>
      </c>
      <c r="F115" s="4">
        <f>((-0.40088516*(1.3/1.5))*0.6)-0.3</f>
        <v>-0.50846028320000003</v>
      </c>
    </row>
    <row r="116" spans="1:6" x14ac:dyDescent="0.4">
      <c r="A116" s="4">
        <v>100.04145</v>
      </c>
      <c r="B116" s="4">
        <v>1.0622891999999999</v>
      </c>
      <c r="C116" s="4">
        <v>1.0357771</v>
      </c>
      <c r="D116" s="4">
        <v>-30.506439999999998</v>
      </c>
      <c r="E116" s="4">
        <f>((-50.5772334/(10/9))+-10.5)+-0.4</f>
        <v>-56.419510059999993</v>
      </c>
      <c r="F116" s="4">
        <f>((-0.40051529*(1.3/1.5))*0.6)-0.3</f>
        <v>-0.50826795079999998</v>
      </c>
    </row>
    <row r="117" spans="1:6" x14ac:dyDescent="0.4">
      <c r="A117" s="4">
        <v>100.916375</v>
      </c>
      <c r="B117" s="4">
        <v>1.0623326</v>
      </c>
      <c r="C117" s="4">
        <v>1.0360575000000001</v>
      </c>
      <c r="D117" s="4">
        <v>-30.506195999999999</v>
      </c>
      <c r="E117" s="4">
        <f>((-50.4684585/(10/9))+-10.5)+-0.4</f>
        <v>-56.321612649999992</v>
      </c>
      <c r="F117" s="4">
        <f>((-0.40007904*(1.3/1.5))*0.6)-0.3</f>
        <v>-0.50804110079999998</v>
      </c>
    </row>
    <row r="118" spans="1:6" x14ac:dyDescent="0.4">
      <c r="A118" s="4">
        <v>101.79130000000001</v>
      </c>
      <c r="B118" s="4">
        <v>1.0623206999999999</v>
      </c>
      <c r="C118" s="4">
        <v>1.0359529999999999</v>
      </c>
      <c r="D118" s="4">
        <v>-30.506625</v>
      </c>
      <c r="E118" s="4">
        <f>((-50.4641331/(10/9))+-10.5)+-0.4</f>
        <v>-56.317719789999998</v>
      </c>
      <c r="F118" s="4">
        <f>((-0.39959279*(1.3/1.5))*0.6)-0.3</f>
        <v>-0.50778825080000001</v>
      </c>
    </row>
    <row r="119" spans="1:6" x14ac:dyDescent="0.4">
      <c r="A119" s="4">
        <v>102.66622500000001</v>
      </c>
      <c r="B119" s="4">
        <v>1.0623924</v>
      </c>
      <c r="C119" s="4">
        <v>1.0359457000000001</v>
      </c>
      <c r="D119" s="4">
        <v>-30.506549</v>
      </c>
      <c r="E119" s="4">
        <f>((-50.4812745/(10/9))+-10.5)+-0.4</f>
        <v>-56.333147049999994</v>
      </c>
      <c r="F119" s="4">
        <f>((-0.39911759*(1.3/1.5))*0.6)-0.3</f>
        <v>-0.50754114679999995</v>
      </c>
    </row>
    <row r="120" spans="1:6" x14ac:dyDescent="0.4">
      <c r="A120" s="4">
        <v>103.54114999999999</v>
      </c>
      <c r="B120" s="4">
        <v>1.0622151</v>
      </c>
      <c r="C120" s="4">
        <v>1.0359893</v>
      </c>
      <c r="D120" s="4">
        <v>-30.506549</v>
      </c>
      <c r="E120" s="4">
        <f>((-50.4756612/(10/9))+-10.5)+-0.4</f>
        <v>-56.328095079999997</v>
      </c>
      <c r="F120" s="4">
        <f>((-0.39853662*(1.3/1.5))*0.6)-0.3</f>
        <v>-0.50723904239999995</v>
      </c>
    </row>
    <row r="121" spans="1:6" x14ac:dyDescent="0.4">
      <c r="A121" s="4">
        <v>104.41607499999999</v>
      </c>
      <c r="B121" s="4">
        <v>1.0620544000000001</v>
      </c>
      <c r="C121" s="4">
        <v>1.0359917000000001</v>
      </c>
      <c r="D121" s="4">
        <v>-30.506813999999999</v>
      </c>
      <c r="E121" s="4">
        <f>((-50.3935938/(10/9))+-10.5)+-0.4</f>
        <v>-56.254234419999996</v>
      </c>
      <c r="F121" s="4">
        <f>((-0.39793786*(1.3/1.5))*0.6)-0.3</f>
        <v>-0.50692768720000003</v>
      </c>
    </row>
    <row r="122" spans="1:6" x14ac:dyDescent="0.4">
      <c r="A122" s="4">
        <v>105.291</v>
      </c>
      <c r="B122" s="4">
        <v>1.0623370000000001</v>
      </c>
      <c r="C122" s="4">
        <v>1.0359339999999999</v>
      </c>
      <c r="D122" s="4">
        <v>-30.506537999999999</v>
      </c>
      <c r="E122" s="4">
        <f>((-50.2635843/(10/9))+-10.5)+-0.4</f>
        <v>-56.137225869999995</v>
      </c>
      <c r="F122" s="4">
        <f>((-0.39739209*(1.3/1.5))*0.6)-0.3</f>
        <v>-0.50664388680000005</v>
      </c>
    </row>
    <row r="123" spans="1:6" x14ac:dyDescent="0.4">
      <c r="A123" s="4">
        <v>106.165925</v>
      </c>
      <c r="B123" s="4">
        <v>1.0621388</v>
      </c>
      <c r="C123" s="4">
        <v>1.0360450999999999</v>
      </c>
      <c r="D123" s="4">
        <v>-30.507137999999998</v>
      </c>
      <c r="E123" s="4">
        <f>((-50.3847153/(10/9))+-10.5)+-0.4</f>
        <v>-56.24624377</v>
      </c>
      <c r="F123" s="4">
        <f>((-0.39698222*(1.3/1.5))*0.6)-0.3</f>
        <v>-0.50643075439999996</v>
      </c>
    </row>
    <row r="124" spans="1:6" x14ac:dyDescent="0.4">
      <c r="A124" s="4">
        <v>107.04085000000001</v>
      </c>
      <c r="B124" s="4">
        <v>1.0623533000000001</v>
      </c>
      <c r="C124" s="4">
        <v>1.0360092000000001</v>
      </c>
      <c r="D124" s="4">
        <v>-30.507085</v>
      </c>
      <c r="E124" s="4">
        <f>((-50.3541972/(10/9))+-10.5)+-0.4</f>
        <v>-56.21877748</v>
      </c>
      <c r="F124" s="4">
        <f>((-0.39663929*(1.3/1.5))*0.6)-0.3</f>
        <v>-0.50625243079999993</v>
      </c>
    </row>
    <row r="125" spans="1:6" x14ac:dyDescent="0.4">
      <c r="A125" s="4">
        <v>107.915775</v>
      </c>
      <c r="B125" s="4">
        <v>1.0624511000000001</v>
      </c>
      <c r="C125" s="4">
        <v>1.0361784000000001</v>
      </c>
      <c r="D125" s="4">
        <v>-30.507847999999999</v>
      </c>
      <c r="E125" s="4">
        <f>((-50.4156249/(10/9))+-10.5)+-0.4</f>
        <v>-56.274062409999992</v>
      </c>
      <c r="F125" s="4">
        <f>((-0.39645597*(1.3/1.5))*0.6)-0.3</f>
        <v>-0.50615710439999995</v>
      </c>
    </row>
    <row r="126" spans="1:6" x14ac:dyDescent="0.4">
      <c r="A126" s="4">
        <v>108.7907</v>
      </c>
      <c r="B126" s="4">
        <v>1.0623925999999999</v>
      </c>
      <c r="C126" s="4">
        <v>1.0362180000000001</v>
      </c>
      <c r="D126" s="4">
        <v>-30.508179999999999</v>
      </c>
      <c r="E126" s="4">
        <f>((-50.3609913/(10/9))+-10.5)+-0.4</f>
        <v>-56.224892169999997</v>
      </c>
      <c r="F126" s="4">
        <f>((-0.39633542*(1.3/1.5))*0.6)-0.3</f>
        <v>-0.50609441840000002</v>
      </c>
    </row>
    <row r="127" spans="1:6" x14ac:dyDescent="0.4">
      <c r="A127" s="4">
        <v>109.66562500000001</v>
      </c>
      <c r="B127" s="4">
        <v>1.0625644999999999</v>
      </c>
      <c r="C127" s="4">
        <v>1.0362188000000001</v>
      </c>
      <c r="D127" s="4">
        <v>-30.508181999999998</v>
      </c>
      <c r="E127" s="4">
        <f>((-50.3411337/(10/9))+-10.5)+-0.4</f>
        <v>-56.207020329999999</v>
      </c>
      <c r="F127" s="4">
        <f>((-0.39633611*(1.3/1.5))*0.6)-0.3</f>
        <v>-0.50609477719999996</v>
      </c>
    </row>
    <row r="128" spans="1:6" x14ac:dyDescent="0.4">
      <c r="A128" s="4">
        <v>110.54055</v>
      </c>
      <c r="B128" s="4">
        <v>1.0625557999999999</v>
      </c>
      <c r="C128" s="4">
        <v>1.0361473999999999</v>
      </c>
      <c r="D128" s="4">
        <v>-30.508808999999999</v>
      </c>
      <c r="E128" s="4">
        <f>((-50.1853203/(10/9))+-10.5)+-0.4</f>
        <v>-56.066788269999996</v>
      </c>
      <c r="F128" s="4">
        <f>((-0.3963978*(1.3/1.5))*0.6)-0.3</f>
        <v>-0.50612685599999996</v>
      </c>
    </row>
    <row r="129" spans="1:6" x14ac:dyDescent="0.4">
      <c r="A129" s="4">
        <v>111.415475</v>
      </c>
      <c r="B129" s="4">
        <v>1.0627112000000001</v>
      </c>
      <c r="C129" s="4">
        <v>1.0362741</v>
      </c>
      <c r="D129" s="4">
        <v>-30.509193</v>
      </c>
      <c r="E129" s="4">
        <f>((-50.3065305/(10/9))+-10.5)+-0.4</f>
        <v>-56.175877449999994</v>
      </c>
      <c r="F129" s="4">
        <f>((-0.39652118*(1.3/1.5))*0.6)-0.3</f>
        <v>-0.50619101359999996</v>
      </c>
    </row>
    <row r="130" spans="1:6" x14ac:dyDescent="0.4">
      <c r="A130" s="4">
        <v>112.29039999999999</v>
      </c>
      <c r="B130" s="4">
        <v>1.0627118</v>
      </c>
      <c r="C130" s="4">
        <v>1.0361791</v>
      </c>
      <c r="D130" s="4">
        <v>-30.509882999999999</v>
      </c>
      <c r="E130" s="4">
        <f>((-50.2281873/(10/9))+-10.5)+-0.4</f>
        <v>-56.105368569999996</v>
      </c>
      <c r="F130" s="4">
        <f>((-0.39673233*(1.3/1.5))*0.6)-0.3</f>
        <v>-0.50630081160000007</v>
      </c>
    </row>
    <row r="131" spans="1:6" x14ac:dyDescent="0.4">
      <c r="A131" s="4">
        <v>113.165325</v>
      </c>
      <c r="B131" s="4">
        <v>1.0628191</v>
      </c>
      <c r="C131" s="4">
        <v>1.0362787</v>
      </c>
      <c r="D131" s="4">
        <v>-30.511191999999998</v>
      </c>
      <c r="E131" s="4">
        <f>((-50.2939854/(10/9))+-10.5)+-0.4</f>
        <v>-56.164586859999993</v>
      </c>
      <c r="F131" s="4">
        <f>((-0.39688551*(1.3/1.5))*0.6)-0.3</f>
        <v>-0.50638046520000002</v>
      </c>
    </row>
    <row r="132" spans="1:6" x14ac:dyDescent="0.4">
      <c r="A132" s="4">
        <v>114.04025</v>
      </c>
      <c r="B132" s="4">
        <v>1.0628135999999999</v>
      </c>
      <c r="C132" s="4">
        <v>1.036543</v>
      </c>
      <c r="D132" s="4">
        <v>-30.511597999999999</v>
      </c>
      <c r="E132" s="4">
        <f>((-50.3299179/(10/9))+-10.5)+-0.4</f>
        <v>-56.196926109999993</v>
      </c>
      <c r="F132" s="4">
        <f>((-0.39700893*(1.3/1.5))*0.6)-0.3</f>
        <v>-0.50644464359999997</v>
      </c>
    </row>
    <row r="133" spans="1:6" x14ac:dyDescent="0.4">
      <c r="A133" s="4">
        <v>114.915175</v>
      </c>
      <c r="B133" s="4">
        <v>1.0629139000000001</v>
      </c>
      <c r="C133" s="4">
        <v>1.0365534999999999</v>
      </c>
      <c r="D133" s="4">
        <v>-30.512060999999999</v>
      </c>
      <c r="E133" s="4">
        <f>((-50.176593/(10/9))+-10.5)+-0.4</f>
        <v>-56.058933699999997</v>
      </c>
      <c r="F133" s="4">
        <f>((-0.39720747*(1.3/1.5))*0.6)-0.3</f>
        <v>-0.50654788439999998</v>
      </c>
    </row>
    <row r="134" spans="1:6" x14ac:dyDescent="0.4">
      <c r="A134" s="4">
        <v>115.79010000000001</v>
      </c>
      <c r="B134" s="4">
        <v>1.0629325999999999</v>
      </c>
      <c r="C134" s="4">
        <v>1.0364008</v>
      </c>
      <c r="D134" s="4">
        <v>-30.513912999999999</v>
      </c>
      <c r="E134" s="4">
        <f>((-50.1395418/(10/9))+-10.5)+-0.4</f>
        <v>-56.025587620000003</v>
      </c>
      <c r="F134" s="4">
        <f>((-0.39741245*(1.3/1.5))*0.6)-0.3</f>
        <v>-0.50665447399999997</v>
      </c>
    </row>
    <row r="135" spans="1:6" x14ac:dyDescent="0.4">
      <c r="A135" s="4">
        <v>116.665025</v>
      </c>
      <c r="B135" s="4">
        <v>1.0626967</v>
      </c>
      <c r="C135" s="4">
        <v>1.0363917</v>
      </c>
      <c r="D135" s="4">
        <v>-30.514471999999998</v>
      </c>
      <c r="E135" s="4">
        <f>((-50.2459479/(10/9))+-10.5)+-0.4</f>
        <v>-56.121353109999994</v>
      </c>
      <c r="F135" s="4">
        <f>((-0.39757717*(1.3/1.5))*0.6)-0.3</f>
        <v>-0.50674012839999993</v>
      </c>
    </row>
    <row r="136" spans="1:6" x14ac:dyDescent="0.4">
      <c r="A136" s="4">
        <v>117.53994999999999</v>
      </c>
      <c r="B136" s="4">
        <v>1.0628006000000001</v>
      </c>
      <c r="C136" s="4">
        <v>1.0362889</v>
      </c>
      <c r="D136" s="4">
        <v>-30.514666999999999</v>
      </c>
      <c r="E136" s="4">
        <f>((-50.2898589/(10/9))+-10.5)+-0.4</f>
        <v>-56.160873009999996</v>
      </c>
      <c r="F136" s="4">
        <f>((-0.39777786*(1.3/1.5))*0.6)-0.3</f>
        <v>-0.50684448719999997</v>
      </c>
    </row>
    <row r="137" spans="1:6" x14ac:dyDescent="0.4">
      <c r="A137" s="4">
        <v>118.41487499999999</v>
      </c>
      <c r="B137" s="4">
        <v>1.0626597</v>
      </c>
      <c r="C137" s="4">
        <v>1.036343</v>
      </c>
      <c r="D137" s="4">
        <v>-30.515129999999999</v>
      </c>
      <c r="E137" s="4">
        <f>((-50.0557536/(10/9))+-10.5)+-0.4</f>
        <v>-55.95017824</v>
      </c>
      <c r="F137" s="4">
        <f>((-0.39799789*(1.3/1.5))*0.6)-0.3</f>
        <v>-0.5069589028</v>
      </c>
    </row>
    <row r="138" spans="1:6" x14ac:dyDescent="0.4">
      <c r="A138" s="4">
        <v>119.2898</v>
      </c>
      <c r="B138" s="4">
        <v>1.062686</v>
      </c>
      <c r="C138" s="4">
        <v>1.0364536</v>
      </c>
      <c r="D138" s="4">
        <v>-30.515453999999998</v>
      </c>
      <c r="E138" s="4">
        <f>((-50.2546644/(10/9))+-10.5)+-0.4</f>
        <v>-56.129197959999999</v>
      </c>
      <c r="F138" s="4">
        <f>((-0.39820907*(1.3/1.5))*0.6)-0.3</f>
        <v>-0.50706871640000006</v>
      </c>
    </row>
    <row r="139" spans="1:6" x14ac:dyDescent="0.4">
      <c r="A139" s="4">
        <v>120.164725</v>
      </c>
      <c r="B139" s="4">
        <v>1.0626252</v>
      </c>
      <c r="C139" s="4">
        <v>1.0364655</v>
      </c>
      <c r="D139" s="4">
        <v>-30.515657000000001</v>
      </c>
      <c r="E139" s="4">
        <f>((-50.1285348/(10/9))+-10.5)+-0.4</f>
        <v>-56.015681319999992</v>
      </c>
      <c r="F139" s="4">
        <f>((-0.39833885*(1.3/1.5))*0.6)-0.3</f>
        <v>-0.50713620199999998</v>
      </c>
    </row>
    <row r="140" spans="1:6" x14ac:dyDescent="0.4">
      <c r="A140" s="4">
        <v>121.03964999999999</v>
      </c>
      <c r="B140" s="4">
        <v>1.0627495</v>
      </c>
      <c r="C140" s="4">
        <v>1.0364260999999999</v>
      </c>
      <c r="D140" s="4">
        <v>-30.516100999999999</v>
      </c>
      <c r="E140" s="4">
        <f>((-50.0801913/(10/9))+-10.5)+-0.4</f>
        <v>-55.97217217</v>
      </c>
      <c r="F140" s="4">
        <f>((-0.39854044*(1.3/1.5))*0.6)-0.3</f>
        <v>-0.50724102879999999</v>
      </c>
    </row>
    <row r="141" spans="1:6" x14ac:dyDescent="0.4">
      <c r="A141" s="4">
        <v>121.914575</v>
      </c>
      <c r="B141" s="4">
        <v>1.0625863</v>
      </c>
      <c r="C141" s="4">
        <v>1.0364081000000001</v>
      </c>
      <c r="D141" s="4">
        <v>-30.516368</v>
      </c>
      <c r="E141" s="4">
        <f>((-50.1103215/(10/9))+-10.5)+-0.4</f>
        <v>-55.999289349999998</v>
      </c>
      <c r="F141" s="4">
        <f>((-0.39872229*(1.3/1.5))*0.6)-0.3</f>
        <v>-0.50733559080000001</v>
      </c>
    </row>
    <row r="142" spans="1:6" x14ac:dyDescent="0.4">
      <c r="A142" s="4">
        <v>122.7895</v>
      </c>
      <c r="B142" s="4">
        <v>1.0625367999999999</v>
      </c>
      <c r="C142" s="4">
        <v>1.036413</v>
      </c>
      <c r="D142" s="4">
        <v>-30.516268999999998</v>
      </c>
      <c r="E142" s="4">
        <f>((-50.2214004/(10/9))+-10.5)+-0.4</f>
        <v>-56.099260359999995</v>
      </c>
      <c r="F142" s="4">
        <f>((-0.39887035*(1.3/1.5))*0.6)-0.3</f>
        <v>-0.50741258199999995</v>
      </c>
    </row>
    <row r="143" spans="1:6" x14ac:dyDescent="0.4">
      <c r="A143" s="4">
        <v>123.66442500000001</v>
      </c>
      <c r="B143" s="4">
        <v>1.0624047999999999</v>
      </c>
      <c r="C143" s="4">
        <v>1.0361883999999999</v>
      </c>
      <c r="D143" s="4">
        <v>-30.516956999999998</v>
      </c>
      <c r="E143" s="4">
        <f>((-50.0316795/(10/9))+-10.5)+-0.4</f>
        <v>-55.928511549999996</v>
      </c>
      <c r="F143" s="4">
        <f>((-0.39899892*(1.3/1.5))*0.6)-0.3</f>
        <v>-0.50747943839999998</v>
      </c>
    </row>
    <row r="144" spans="1:6" x14ac:dyDescent="0.4">
      <c r="A144" s="4">
        <v>124.53935</v>
      </c>
      <c r="B144" s="4">
        <v>1.0625777999999999</v>
      </c>
      <c r="C144" s="4">
        <v>1.0364161000000001</v>
      </c>
      <c r="D144" s="4">
        <v>-30.517381</v>
      </c>
      <c r="E144" s="4">
        <f>((-49.9373694/(10/9))+-10.5)+-0.4</f>
        <v>-55.843632459999995</v>
      </c>
      <c r="F144" s="4">
        <f>((-0.3991974*(1.3/1.5))*0.6)-0.3</f>
        <v>-0.50758264799999997</v>
      </c>
    </row>
    <row r="145" spans="1:6" x14ac:dyDescent="0.4">
      <c r="A145" s="4">
        <v>125.41427499999999</v>
      </c>
      <c r="B145" s="4">
        <v>1.0626127999999999</v>
      </c>
      <c r="C145" s="4">
        <v>1.0365093000000001</v>
      </c>
      <c r="D145" s="4">
        <v>-30.517880999999999</v>
      </c>
      <c r="E145" s="4">
        <f>((-50.1143868/(10/9))+-10.5)+-0.4</f>
        <v>-56.002948119999992</v>
      </c>
      <c r="F145" s="4">
        <f>((-0.39943111*(1.3/1.5))*0.6)-0.3</f>
        <v>-0.50770417719999994</v>
      </c>
    </row>
    <row r="146" spans="1:6" x14ac:dyDescent="0.4">
      <c r="A146" s="4">
        <v>126.28919999999999</v>
      </c>
      <c r="B146" s="4">
        <v>1.0627728999999999</v>
      </c>
      <c r="C146" s="4">
        <v>1.0366461</v>
      </c>
      <c r="D146" s="4">
        <v>-30.517961</v>
      </c>
      <c r="E146" s="4">
        <f>((-49.9451418/(10/9))+-10.5)+-0.4</f>
        <v>-55.850627619999997</v>
      </c>
      <c r="F146" s="4">
        <f>((-0.39965034*(1.3/1.5))*0.6)-0.3</f>
        <v>-0.50781817679999997</v>
      </c>
    </row>
    <row r="147" spans="1:6" x14ac:dyDescent="0.4">
      <c r="A147" s="4">
        <v>127.164125</v>
      </c>
      <c r="B147" s="4">
        <v>1.0626589</v>
      </c>
      <c r="C147" s="4">
        <v>1.0365838000000001</v>
      </c>
      <c r="D147" s="4">
        <v>-30.51801</v>
      </c>
      <c r="E147" s="4">
        <f>((-49.8379329/(10/9))+-10.5)+-0.4</f>
        <v>-55.754139609999996</v>
      </c>
      <c r="F147" s="4">
        <f>((-0.39991641*(1.3/1.5))*0.6)-0.3</f>
        <v>-0.5079565332</v>
      </c>
    </row>
    <row r="148" spans="1:6" x14ac:dyDescent="0.4">
      <c r="A148" s="4">
        <v>128.03905</v>
      </c>
      <c r="B148" s="4">
        <v>1.0626013000000001</v>
      </c>
      <c r="C148" s="4">
        <v>1.0364507000000001</v>
      </c>
      <c r="D148" s="4">
        <v>-30.518191999999999</v>
      </c>
      <c r="E148" s="4">
        <f>((-49.9523445/(10/9))+-10.5)+-0.4</f>
        <v>-55.857110049999996</v>
      </c>
      <c r="F148" s="4">
        <f>((-0.40010276*(1.3/1.5))*0.6)-0.3</f>
        <v>-0.50805343520000001</v>
      </c>
    </row>
    <row r="149" spans="1:6" x14ac:dyDescent="0.4">
      <c r="A149" s="4">
        <v>128.91397499999999</v>
      </c>
      <c r="B149" s="4">
        <v>1.0629001</v>
      </c>
      <c r="C149" s="4">
        <v>1.0366081</v>
      </c>
      <c r="D149" s="4">
        <v>-30.518311999999998</v>
      </c>
      <c r="E149" s="4">
        <f>((-50.017734/(10/9))+-10.5)+-0.4</f>
        <v>-55.915960599999991</v>
      </c>
      <c r="F149" s="4">
        <f>((-0.40021789*(1.3/1.5))*0.6)-0.3</f>
        <v>-0.5081133028</v>
      </c>
    </row>
    <row r="150" spans="1:6" x14ac:dyDescent="0.4">
      <c r="A150" s="4">
        <v>129.78889999999998</v>
      </c>
      <c r="B150" s="4">
        <v>1.0628633000000001</v>
      </c>
      <c r="C150" s="4">
        <v>1.0365293</v>
      </c>
      <c r="D150" s="4">
        <v>-30.518415000000001</v>
      </c>
      <c r="E150" s="4">
        <f>((-49.954635/(10/9))+-10.5)+-0.4</f>
        <v>-55.859171500000002</v>
      </c>
      <c r="F150" s="4">
        <f>((-0.40040603*(1.3/1.5))*0.6)-0.3</f>
        <v>-0.50821113559999997</v>
      </c>
    </row>
    <row r="151" spans="1:6" x14ac:dyDescent="0.4">
      <c r="A151" s="4">
        <v>130.663825</v>
      </c>
      <c r="B151" s="4">
        <v>1.0628474999999999</v>
      </c>
      <c r="C151" s="4">
        <v>1.0367652000000001</v>
      </c>
      <c r="D151" s="4">
        <v>-30.518708</v>
      </c>
      <c r="E151" s="4">
        <f>((-49.9495365/(10/9))+-10.5)+-0.4</f>
        <v>-55.85458285</v>
      </c>
      <c r="F151" s="4">
        <f>((-0.4007076*(1.3/1.5))*0.6)-0.3</f>
        <v>-0.50836795199999996</v>
      </c>
    </row>
    <row r="152" spans="1:6" x14ac:dyDescent="0.4">
      <c r="A152" s="4">
        <v>131.53874999999999</v>
      </c>
      <c r="B152" s="4">
        <v>1.0629014999999999</v>
      </c>
      <c r="C152" s="4">
        <v>1.0368067000000001</v>
      </c>
      <c r="D152" s="4">
        <v>-30.51885</v>
      </c>
      <c r="E152" s="4">
        <f>((-49.8234474/(10/9))+-10.5)+-0.4</f>
        <v>-55.741102659999996</v>
      </c>
      <c r="F152" s="4">
        <f>((-0.40103865*(1.3/1.5))*0.6)-0.3</f>
        <v>-0.508540098</v>
      </c>
    </row>
    <row r="153" spans="1:6" x14ac:dyDescent="0.4">
      <c r="A153" s="4">
        <v>132.41367499999998</v>
      </c>
      <c r="B153" s="4">
        <v>1.0627849</v>
      </c>
      <c r="C153" s="4">
        <v>1.0366495</v>
      </c>
      <c r="D153" s="4">
        <v>-30.51876</v>
      </c>
      <c r="E153" s="4">
        <f>((-49.8151116/(10/9))+-10.5)+-0.4</f>
        <v>-55.733600439999996</v>
      </c>
      <c r="F153" s="4">
        <f>((-0.40128279*(1.3/1.5))*0.6)-0.3</f>
        <v>-0.50866705079999996</v>
      </c>
    </row>
    <row r="154" spans="1:6" x14ac:dyDescent="0.4">
      <c r="A154" s="4">
        <v>133.2886</v>
      </c>
      <c r="B154" s="4">
        <v>1.0628926000000001</v>
      </c>
      <c r="C154" s="4">
        <v>1.0366778000000001</v>
      </c>
      <c r="D154" s="4">
        <v>-30.519020999999999</v>
      </c>
      <c r="E154" s="4">
        <f>((-49.9129659/(10/9))+-10.5)+-0.4</f>
        <v>-55.821669309999997</v>
      </c>
      <c r="F154" s="4">
        <f>((-0.401544*(1.3/1.5))*0.6)-0.3</f>
        <v>-0.50880287999999996</v>
      </c>
    </row>
    <row r="155" spans="1:6" x14ac:dyDescent="0.4">
      <c r="A155" s="4">
        <v>134.16352499999999</v>
      </c>
      <c r="B155" s="4">
        <v>1.0627203999999999</v>
      </c>
      <c r="C155" s="4">
        <v>1.0366579</v>
      </c>
      <c r="D155" s="4">
        <v>-30.519009999999998</v>
      </c>
      <c r="E155" s="4">
        <f>((-49.9361679/(10/9))+-10.5)+-0.4</f>
        <v>-55.842551109999995</v>
      </c>
      <c r="F155" s="4">
        <f>((-0.40180776*(1.3/1.5))*0.6)-0.3</f>
        <v>-0.50894003519999997</v>
      </c>
    </row>
    <row r="156" spans="1:6" x14ac:dyDescent="0.4">
      <c r="A156" s="4">
        <v>135.03845000000001</v>
      </c>
      <c r="B156" s="4">
        <v>1.0631373</v>
      </c>
      <c r="C156" s="4">
        <v>1.0368818</v>
      </c>
      <c r="D156" s="4">
        <v>-30.519411999999999</v>
      </c>
      <c r="E156" s="4">
        <f>((-49.8738987/(10/9))+-10.5)+-0.4</f>
        <v>-55.786508829999995</v>
      </c>
      <c r="F156" s="4">
        <f>((-0.40213946*(1.3/1.5))*0.6)-0.3</f>
        <v>-0.5091125192</v>
      </c>
    </row>
    <row r="157" spans="1:6" x14ac:dyDescent="0.4">
      <c r="A157" s="4">
        <v>135.913375</v>
      </c>
      <c r="B157" s="4">
        <v>1.0632267</v>
      </c>
      <c r="C157" s="4">
        <v>1.0369339</v>
      </c>
      <c r="D157" s="4">
        <v>-30.519714999999998</v>
      </c>
      <c r="E157" s="4">
        <f>((-49.8307707/(10/9))+-10.5)+-0.4</f>
        <v>-55.747693630000001</v>
      </c>
      <c r="F157" s="4">
        <f>((-0.40254766*(1.3/1.5))*0.6)-0.3</f>
        <v>-0.50932478319999996</v>
      </c>
    </row>
    <row r="158" spans="1:6" x14ac:dyDescent="0.4">
      <c r="A158" s="4">
        <v>136.78829999999999</v>
      </c>
      <c r="B158" s="4">
        <v>1.0631238000000001</v>
      </c>
      <c r="C158" s="4">
        <v>1.0367917</v>
      </c>
      <c r="D158" s="4">
        <v>-30.520115999999998</v>
      </c>
      <c r="E158" s="4">
        <f>((-49.8693195/(10/9))+-10.5)+-0.4</f>
        <v>-55.782387550000003</v>
      </c>
      <c r="F158" s="4">
        <f>((-0.40297583*(1.3/1.5))*0.6)-0.3</f>
        <v>-0.50954743159999993</v>
      </c>
    </row>
    <row r="159" spans="1:6" x14ac:dyDescent="0.4">
      <c r="A159" s="4">
        <v>137.66322500000001</v>
      </c>
      <c r="B159" s="4">
        <v>1.0630697</v>
      </c>
      <c r="C159" s="4">
        <v>1.0369132999999999</v>
      </c>
      <c r="D159" s="4">
        <v>-30.520824000000001</v>
      </c>
      <c r="E159" s="4">
        <f>((-49.8360267/(10/9))+-10.5)+-0.4</f>
        <v>-55.752424029999993</v>
      </c>
      <c r="F159" s="4">
        <f>((-0.40346664*(1.3/1.5))*0.6)-0.3</f>
        <v>-0.50980265280000003</v>
      </c>
    </row>
    <row r="160" spans="1:6" x14ac:dyDescent="0.4">
      <c r="A160" s="4">
        <v>138.53815</v>
      </c>
      <c r="B160" s="4">
        <v>1.0630390999999999</v>
      </c>
      <c r="C160" s="4">
        <v>1.0367308</v>
      </c>
      <c r="D160" s="4">
        <v>-30.521653000000001</v>
      </c>
      <c r="E160" s="4">
        <f>((-49.7033361/(10/9))+-10.5)+-0.4</f>
        <v>-55.633002489999996</v>
      </c>
      <c r="F160" s="4">
        <f>((-0.40404817*(1.3/1.5))*0.6)-0.3</f>
        <v>-0.51010504839999993</v>
      </c>
    </row>
    <row r="161" spans="1:6" x14ac:dyDescent="0.4">
      <c r="A161" s="4">
        <v>139.41307500000002</v>
      </c>
      <c r="B161" s="4">
        <v>1.0633736</v>
      </c>
      <c r="C161" s="4">
        <v>1.0369364999999999</v>
      </c>
      <c r="D161" s="4">
        <v>-30.522067</v>
      </c>
      <c r="E161" s="4">
        <f>((-49.6885356/(10/9))+-10.5)+-0.4</f>
        <v>-55.619682040000001</v>
      </c>
      <c r="F161" s="4">
        <f>((-0.40451643*(1.3/1.5))*0.6)-0.3</f>
        <v>-0.51034854359999993</v>
      </c>
    </row>
    <row r="162" spans="1:6" x14ac:dyDescent="0.4">
      <c r="A162" s="4">
        <v>140.28800000000001</v>
      </c>
      <c r="B162" s="4">
        <v>1.0632401</v>
      </c>
      <c r="C162" s="4">
        <v>1.0369922</v>
      </c>
      <c r="D162" s="4">
        <v>-30.522787999999998</v>
      </c>
      <c r="E162" s="4">
        <f>((-49.7589543/(10/9))+-10.5)+-0.4</f>
        <v>-55.683058869999996</v>
      </c>
      <c r="F162" s="4">
        <f>((-0.40502036*(1.3/1.5))*0.6)-0.3</f>
        <v>-0.51061058719999997</v>
      </c>
    </row>
    <row r="163" spans="1:6" x14ac:dyDescent="0.4">
      <c r="A163" s="4">
        <v>141.162925</v>
      </c>
      <c r="B163" s="4">
        <v>1.0631287</v>
      </c>
      <c r="C163" s="4">
        <v>1.0370584</v>
      </c>
      <c r="D163" s="4">
        <v>-30.523091999999998</v>
      </c>
      <c r="E163" s="4">
        <f>((-49.8748671/(10/9))+-10.5)+-0.4</f>
        <v>-55.787380390000003</v>
      </c>
      <c r="F163" s="4">
        <f>((-0.40542877*(1.3/1.5))*0.6)-0.3</f>
        <v>-0.51082296039999997</v>
      </c>
    </row>
    <row r="164" spans="1:6" x14ac:dyDescent="0.4">
      <c r="A164" s="4">
        <v>142.03784999999999</v>
      </c>
      <c r="B164" s="4">
        <v>1.0633471000000001</v>
      </c>
      <c r="C164" s="4">
        <v>1.0370071999999999</v>
      </c>
      <c r="D164" s="4">
        <v>-30.523153000000001</v>
      </c>
      <c r="E164" s="4">
        <f>((-49.7388528/(10/9))+-10.5)+-0.4</f>
        <v>-55.66496751999999</v>
      </c>
      <c r="F164" s="4">
        <f>((-0.4057892*(1.3/1.5))*0.6)-0.3</f>
        <v>-0.51101038399999998</v>
      </c>
    </row>
    <row r="165" spans="1:6" x14ac:dyDescent="0.4">
      <c r="A165" s="4">
        <v>142.91277499999998</v>
      </c>
      <c r="B165" s="4">
        <v>1.0632699000000001</v>
      </c>
      <c r="C165" s="4">
        <v>1.0371073</v>
      </c>
      <c r="D165" s="4">
        <v>-30.523298999999998</v>
      </c>
      <c r="E165" s="4">
        <f>((-49.6952235/(10/9))+-10.5)+-0.4</f>
        <v>-55.625701149999998</v>
      </c>
      <c r="F165" s="4">
        <f>((-0.40607569*(1.3/1.5))*0.6)-0.3</f>
        <v>-0.51115935879999996</v>
      </c>
    </row>
    <row r="166" spans="1:6" x14ac:dyDescent="0.4">
      <c r="A166" s="4">
        <v>143.7877</v>
      </c>
      <c r="B166" s="4">
        <v>1.0633649000000001</v>
      </c>
      <c r="C166" s="4">
        <v>1.037291</v>
      </c>
      <c r="D166" s="4">
        <v>-30.523107</v>
      </c>
      <c r="E166" s="4">
        <f>((-49.7730411/(10/9))+-10.5)+-0.4</f>
        <v>-55.69573699</v>
      </c>
      <c r="F166" s="4">
        <f>((-0.40623748*(1.3/1.5))*0.6)-0.3</f>
        <v>-0.51124348959999999</v>
      </c>
    </row>
    <row r="167" spans="1:6" x14ac:dyDescent="0.4">
      <c r="A167" s="4">
        <v>144.66262499999999</v>
      </c>
      <c r="B167" s="4">
        <v>1.0632386</v>
      </c>
      <c r="C167" s="4">
        <v>1.0371398999999999</v>
      </c>
      <c r="D167" s="4">
        <v>-30.523502000000001</v>
      </c>
      <c r="E167" s="4">
        <f>((-49.6483362/(10/9))+-10.5)+-0.4</f>
        <v>-55.583502580000001</v>
      </c>
      <c r="F167" s="4">
        <f>((-0.40633747*(1.3/1.5))*0.6)-0.3</f>
        <v>-0.51129548439999994</v>
      </c>
    </row>
    <row r="168" spans="1:6" x14ac:dyDescent="0.4">
      <c r="A168" s="4">
        <v>145.53754999999998</v>
      </c>
      <c r="B168" s="4">
        <v>1.0628565999999999</v>
      </c>
      <c r="C168" s="4">
        <v>1.0370526</v>
      </c>
      <c r="D168" s="4">
        <v>-30.523745999999999</v>
      </c>
      <c r="E168" s="4">
        <f>((-49.5578052/(10/9))+-10.5)+-0.4</f>
        <v>-55.502024679999991</v>
      </c>
      <c r="F168" s="4">
        <f>((-0.40625924*(1.3/1.5))*0.6)-0.3</f>
        <v>-0.51125480479999996</v>
      </c>
    </row>
    <row r="169" spans="1:6" x14ac:dyDescent="0.4">
      <c r="A169" s="4">
        <v>146.412475</v>
      </c>
      <c r="B169" s="4">
        <v>1.0630245</v>
      </c>
      <c r="C169" s="4">
        <v>1.0370367</v>
      </c>
      <c r="D169" s="4">
        <v>-30.524114000000001</v>
      </c>
      <c r="E169" s="4">
        <f>((-49.7225178/(10/9))+-10.5)+-0.4</f>
        <v>-55.650266019999997</v>
      </c>
      <c r="F169" s="4">
        <f>((-0.40629348*(1.3/1.5))*0.6)-0.3</f>
        <v>-0.51127260959999998</v>
      </c>
    </row>
    <row r="170" spans="1:6" x14ac:dyDescent="0.4">
      <c r="A170" s="4">
        <v>147.28739999999999</v>
      </c>
      <c r="B170" s="4">
        <v>1.0631084</v>
      </c>
      <c r="C170" s="4">
        <v>1.0371343</v>
      </c>
      <c r="D170" s="4">
        <v>-30.524218999999999</v>
      </c>
      <c r="E170" s="4">
        <f>((-49.5278469/(10/9))+-10.5)+-0.4</f>
        <v>-55.475062209999997</v>
      </c>
      <c r="F170" s="4">
        <f>((-0.40627623*(1.3/1.5))*0.6)-0.3</f>
        <v>-0.51126363959999999</v>
      </c>
    </row>
    <row r="171" spans="1:6" x14ac:dyDescent="0.4">
      <c r="A171" s="4">
        <v>148.16232500000001</v>
      </c>
      <c r="B171" s="4">
        <v>1.0630733000000001</v>
      </c>
      <c r="C171" s="4">
        <v>1.0372907</v>
      </c>
      <c r="D171" s="4">
        <v>-30.524366000000001</v>
      </c>
      <c r="E171" s="4">
        <f>((-49.7959308/(10/9))+-10.5)+-0.4</f>
        <v>-55.716337719999999</v>
      </c>
      <c r="F171" s="4">
        <f>((-0.40621349*(1.3/1.5))*0.6)-0.3</f>
        <v>-0.51123101479999999</v>
      </c>
    </row>
    <row r="172" spans="1:6" x14ac:dyDescent="0.4">
      <c r="A172" s="4">
        <v>149.03725</v>
      </c>
      <c r="B172" s="4">
        <v>1.0630512999999999</v>
      </c>
      <c r="C172" s="4">
        <v>1.0372547000000001</v>
      </c>
      <c r="D172" s="4">
        <v>-30.524331</v>
      </c>
      <c r="E172" s="4">
        <f>((-49.6756062/(10/9))+-10.5)+-0.4</f>
        <v>-55.608045579999995</v>
      </c>
      <c r="F172" s="4">
        <f>((-0.40619138*(1.3/1.5))*0.6)-0.3</f>
        <v>-0.51121951759999995</v>
      </c>
    </row>
    <row r="173" spans="1:6" x14ac:dyDescent="0.4">
      <c r="A173" s="4">
        <v>149.91217499999999</v>
      </c>
      <c r="B173" s="4">
        <v>1.0629196000000001</v>
      </c>
      <c r="C173" s="4">
        <v>1.0372015999999999</v>
      </c>
      <c r="D173" s="4">
        <v>-30.524626999999999</v>
      </c>
      <c r="E173" s="4">
        <f>((-49.7113911/(10/9))+-10.5)+-0.4</f>
        <v>-55.640251989999996</v>
      </c>
      <c r="F173" s="4">
        <f>((-0.40606365*(1.3/1.5))*0.6)-0.3</f>
        <v>-0.51115309799999997</v>
      </c>
    </row>
    <row r="174" spans="1:6" x14ac:dyDescent="0.4">
      <c r="A174" s="4">
        <v>150.78710000000001</v>
      </c>
      <c r="B174" s="4">
        <v>1.0628616</v>
      </c>
      <c r="C174" s="4">
        <v>1.0374056</v>
      </c>
      <c r="D174" s="4">
        <v>-30.524702999999999</v>
      </c>
      <c r="E174" s="4">
        <f>((-49.5351594/(10/9))+-10.5)+-0.4</f>
        <v>-55.481643459999994</v>
      </c>
      <c r="F174" s="4">
        <f>((-0.40592775*(1.3/1.5))*0.6)-0.3</f>
        <v>-0.51108242999999998</v>
      </c>
    </row>
    <row r="175" spans="1:6" x14ac:dyDescent="0.4">
      <c r="A175" s="4">
        <v>151.662025</v>
      </c>
      <c r="B175" s="4">
        <v>1.0629067000000001</v>
      </c>
      <c r="C175" s="4">
        <v>1.0376223</v>
      </c>
      <c r="D175" s="4">
        <v>-30.524819999999998</v>
      </c>
      <c r="E175" s="4">
        <f>((-49.571064/(10/9))+-10.5)+-0.4</f>
        <v>-55.513957599999998</v>
      </c>
      <c r="F175" s="4">
        <f>((-0.40586218*(1.3/1.5))*0.6)-0.3</f>
        <v>-0.51104833360000002</v>
      </c>
    </row>
    <row r="176" spans="1:6" x14ac:dyDescent="0.4">
      <c r="A176" s="4">
        <v>152.53695000000002</v>
      </c>
      <c r="B176" s="4">
        <v>1.0628879</v>
      </c>
      <c r="C176" s="4">
        <v>1.0373292999999999</v>
      </c>
      <c r="D176" s="4">
        <v>-30.524861999999999</v>
      </c>
      <c r="E176" s="4">
        <f>((-49.6490463/(10/9))+-10.5)+-0.4</f>
        <v>-55.584141670000001</v>
      </c>
      <c r="F176" s="4">
        <f>((-0.40576732*(1.3/1.5))*0.6)-0.3</f>
        <v>-0.51099900639999996</v>
      </c>
    </row>
    <row r="177" spans="1:6" x14ac:dyDescent="0.4">
      <c r="A177" s="4">
        <v>153.41187500000001</v>
      </c>
      <c r="B177" s="4">
        <v>1.0630402999999999</v>
      </c>
      <c r="C177" s="4">
        <v>1.0375307</v>
      </c>
      <c r="D177" s="4">
        <v>-30.524909000000001</v>
      </c>
      <c r="E177" s="4">
        <f>((-49.5624474/(10/9))+-10.5)+-0.4</f>
        <v>-55.50620266</v>
      </c>
      <c r="F177" s="4">
        <f>((-0.40572444*(1.3/1.5))*0.6)-0.3</f>
        <v>-0.51097670880000001</v>
      </c>
    </row>
    <row r="178" spans="1:6" x14ac:dyDescent="0.4">
      <c r="A178" s="4">
        <v>154.2868</v>
      </c>
      <c r="B178" s="4">
        <v>1.0631697</v>
      </c>
      <c r="C178" s="4">
        <v>1.0373473</v>
      </c>
      <c r="D178" s="4">
        <v>-30.525736999999999</v>
      </c>
      <c r="E178" s="4">
        <f>((-49.6643868/(10/9))+-10.5)+-0.4</f>
        <v>-55.597948119999998</v>
      </c>
      <c r="F178" s="4">
        <f>((-0.40574288*(1.3/1.5))*0.6)-0.3</f>
        <v>-0.51098629759999992</v>
      </c>
    </row>
    <row r="179" spans="1:6" x14ac:dyDescent="0.4">
      <c r="A179" s="4">
        <v>155.16172500000002</v>
      </c>
      <c r="B179" s="4">
        <v>1.0632724</v>
      </c>
      <c r="C179" s="4">
        <v>1.0374938</v>
      </c>
      <c r="D179" s="4">
        <v>-30.526291999999998</v>
      </c>
      <c r="E179" s="4">
        <f>((-49.5711297/(10/9))+-10.5)+-0.4</f>
        <v>-55.514016729999994</v>
      </c>
      <c r="F179" s="4">
        <f>((-0.40574694*(1.3/1.5))*0.6)-0.3</f>
        <v>-0.51098840879999996</v>
      </c>
    </row>
    <row r="180" spans="1:6" x14ac:dyDescent="0.4">
      <c r="A180" s="4">
        <v>156.03664999999998</v>
      </c>
      <c r="B180" s="4">
        <v>1.0633425000000001</v>
      </c>
      <c r="C180" s="4">
        <v>1.0374258999999999</v>
      </c>
      <c r="D180" s="4">
        <v>-30.526841000000001</v>
      </c>
      <c r="E180" s="4">
        <f>((-49.504374/(10/9))+-10.5)+-0.4</f>
        <v>-55.453936599999999</v>
      </c>
      <c r="F180" s="4">
        <f>((-0.40577236*(1.3/1.5))*0.6)-0.3</f>
        <v>-0.51100162719999997</v>
      </c>
    </row>
    <row r="181" spans="1:6" x14ac:dyDescent="0.4">
      <c r="A181" s="4">
        <v>156.911575</v>
      </c>
      <c r="B181" s="4">
        <v>1.0632573000000001</v>
      </c>
      <c r="C181" s="4">
        <v>1.0374827</v>
      </c>
      <c r="D181" s="4">
        <v>-30.527818</v>
      </c>
      <c r="E181" s="4">
        <f>((-49.6233837/(10/9))+-10.5)+-0.4</f>
        <v>-55.561045329999992</v>
      </c>
      <c r="F181" s="4">
        <f>((-0.4057844*(1.3/1.5))*0.6)-0.3</f>
        <v>-0.51100788799999997</v>
      </c>
    </row>
    <row r="182" spans="1:6" x14ac:dyDescent="0.4">
      <c r="A182" s="4">
        <v>157.78649999999999</v>
      </c>
      <c r="B182" s="4">
        <v>1.0631820000000001</v>
      </c>
      <c r="C182" s="4">
        <v>1.0374243000000001</v>
      </c>
      <c r="D182" s="4">
        <v>-30.529153000000001</v>
      </c>
      <c r="E182" s="4">
        <f>((-49.6477116/(10/9))+-10.5)+-0.4</f>
        <v>-55.582940439999994</v>
      </c>
      <c r="F182" s="4">
        <f>((-0.40583691*(1.3/1.5))*0.6)-0.3</f>
        <v>-0.51103519320000002</v>
      </c>
    </row>
    <row r="183" spans="1:6" x14ac:dyDescent="0.4">
      <c r="A183" s="4">
        <v>158.66142499999998</v>
      </c>
      <c r="B183" s="4">
        <v>1.0632921</v>
      </c>
      <c r="C183" s="4">
        <v>1.0373878000000001</v>
      </c>
      <c r="D183" s="4">
        <v>-30.530197999999999</v>
      </c>
      <c r="E183" s="4">
        <f>((-49.5647784/(10/9))+-10.5)+-0.4</f>
        <v>-55.508300559999995</v>
      </c>
      <c r="F183" s="4">
        <f>((-0.40589595*(1.3/1.5))*0.6)-0.3</f>
        <v>-0.51106589400000002</v>
      </c>
    </row>
    <row r="184" spans="1:6" x14ac:dyDescent="0.4">
      <c r="A184" s="4">
        <v>159.53635</v>
      </c>
      <c r="B184" s="4">
        <v>1.0632792</v>
      </c>
      <c r="C184" s="4">
        <v>1.0374159999999999</v>
      </c>
      <c r="D184" s="4">
        <v>-30.531029999999998</v>
      </c>
      <c r="E184" s="4">
        <f>((-49.5231057/(10/9))+-10.5)+-0.4</f>
        <v>-55.470795129999999</v>
      </c>
      <c r="F184" s="4">
        <f>((-0.4058896*(1.3/1.5))*0.6)-0.3</f>
        <v>-0.51106259200000004</v>
      </c>
    </row>
    <row r="185" spans="1:6" x14ac:dyDescent="0.4">
      <c r="A185" s="4">
        <v>160.41127499999999</v>
      </c>
      <c r="B185" s="4">
        <v>1.0633193999999999</v>
      </c>
      <c r="C185" s="4">
        <v>1.0374516</v>
      </c>
      <c r="D185" s="4">
        <v>-30.531883999999998</v>
      </c>
      <c r="E185" s="4">
        <f>((-49.3742817/(10/9))+-10.5)+-0.4</f>
        <v>-55.336853529999992</v>
      </c>
      <c r="F185" s="4">
        <f>((-0.40588218*(1.3/1.5))*0.6)-0.3</f>
        <v>-0.51105873359999998</v>
      </c>
    </row>
    <row r="186" spans="1:6" x14ac:dyDescent="0.4">
      <c r="A186" s="4">
        <v>161.28620000000001</v>
      </c>
      <c r="B186" s="4">
        <v>1.0630705</v>
      </c>
      <c r="C186" s="4">
        <v>1.037577</v>
      </c>
      <c r="D186" s="4">
        <v>-30.533283999999998</v>
      </c>
      <c r="E186" s="4">
        <f>((-49.4082954/(10/9))+-10.5)+-0.4</f>
        <v>-55.367465859999996</v>
      </c>
      <c r="F186" s="4">
        <f>((-0.40591323*(1.3/1.5))*0.6)-0.3</f>
        <v>-0.51107487959999998</v>
      </c>
    </row>
    <row r="187" spans="1:6" x14ac:dyDescent="0.4">
      <c r="A187" s="4">
        <v>162.161125</v>
      </c>
      <c r="B187" s="4">
        <v>1.0633649000000001</v>
      </c>
      <c r="C187" s="4">
        <v>1.0376091000000001</v>
      </c>
      <c r="D187" s="4">
        <v>-30.534741999999998</v>
      </c>
      <c r="E187" s="4">
        <f>((-49.4186292/(10/9))+-10.5)+-0.4</f>
        <v>-55.376766279999998</v>
      </c>
      <c r="F187" s="4">
        <f>((-0.40599632*(1.3/1.5))*0.6)-0.3</f>
        <v>-0.5111180864</v>
      </c>
    </row>
    <row r="188" spans="1:6" x14ac:dyDescent="0.4">
      <c r="A188" s="4">
        <v>163.03604999999999</v>
      </c>
      <c r="B188" s="4">
        <v>1.0635095999999999</v>
      </c>
      <c r="C188" s="4">
        <v>1.0377331999999999</v>
      </c>
      <c r="D188" s="4">
        <v>-30.536657999999999</v>
      </c>
      <c r="E188" s="4">
        <f>((-49.4270541/(10/9))+-10.5)+-0.4</f>
        <v>-55.384348689999996</v>
      </c>
      <c r="F188" s="4">
        <f>((-0.40609631*(1.3/1.5))*0.6)-0.3</f>
        <v>-0.51117008119999996</v>
      </c>
    </row>
    <row r="189" spans="1:6" x14ac:dyDescent="0.4">
      <c r="A189" s="4">
        <v>163.91097500000001</v>
      </c>
      <c r="B189" s="4">
        <v>1.0633733000000001</v>
      </c>
      <c r="C189" s="4">
        <v>1.0377901</v>
      </c>
      <c r="D189" s="4">
        <v>-30.538405999999998</v>
      </c>
      <c r="E189" s="4">
        <f>((-49.4757747/(10/9))+-10.5)+-0.4</f>
        <v>-55.428197230000002</v>
      </c>
      <c r="F189" s="4">
        <f>((-0.40622529*(1.3/1.5))*0.6)-0.3</f>
        <v>-0.51123715079999998</v>
      </c>
    </row>
    <row r="190" spans="1:6" x14ac:dyDescent="0.4">
      <c r="A190" s="4">
        <v>164.7859</v>
      </c>
      <c r="B190" s="4">
        <v>1.0635498000000001</v>
      </c>
      <c r="C190" s="4">
        <v>1.0379049</v>
      </c>
      <c r="D190" s="4">
        <v>-30.540272999999999</v>
      </c>
      <c r="E190" s="4">
        <f>((-49.373352/(10/9))+-10.5)+-0.4</f>
        <v>-55.336016799999996</v>
      </c>
      <c r="F190" s="4">
        <f>((-0.40631115*(1.3/1.5))*0.6)-0.3</f>
        <v>-0.51128179799999995</v>
      </c>
    </row>
    <row r="191" spans="1:6" x14ac:dyDescent="0.4">
      <c r="A191" s="4">
        <v>165.66082500000002</v>
      </c>
      <c r="B191" s="4">
        <v>1.0635363</v>
      </c>
      <c r="C191" s="4">
        <v>1.0378655999999999</v>
      </c>
      <c r="D191" s="4">
        <v>-30.542113000000001</v>
      </c>
      <c r="E191" s="4">
        <f>((-49.4950257/(10/9))+-10.5)+-0.4</f>
        <v>-55.445523129999998</v>
      </c>
      <c r="F191" s="4">
        <f>((-0.40634477*(1.3/1.5))*0.6)-0.3</f>
        <v>-0.51129928040000006</v>
      </c>
    </row>
    <row r="192" spans="1:6" x14ac:dyDescent="0.4">
      <c r="A192" s="4">
        <v>166.53575000000001</v>
      </c>
      <c r="B192" s="4">
        <v>1.0633798999999999</v>
      </c>
      <c r="C192" s="4">
        <v>1.0378715999999999</v>
      </c>
      <c r="D192" s="4">
        <v>-30.544080000000001</v>
      </c>
      <c r="E192" s="4">
        <f>((-49.3765272/(10/9))+-10.5)+-0.4</f>
        <v>-55.338874479999994</v>
      </c>
      <c r="F192" s="4">
        <f>((-0.40645*(1.3/1.5))*0.6)-0.3</f>
        <v>-0.51135399999999998</v>
      </c>
    </row>
    <row r="193" spans="1:6" x14ac:dyDescent="0.4">
      <c r="A193" s="4">
        <v>167.410675</v>
      </c>
      <c r="B193" s="4">
        <v>1.0634859999999999</v>
      </c>
      <c r="C193" s="4">
        <v>1.0376282999999999</v>
      </c>
      <c r="D193" s="4">
        <v>-30.545956999999998</v>
      </c>
      <c r="E193" s="4">
        <f>((-49.2622803/(10/9))+-10.5)+-0.4</f>
        <v>-55.236052269999995</v>
      </c>
      <c r="F193" s="4">
        <f>((-0.40658346*(1.3/1.5))*0.6)-0.3</f>
        <v>-0.51142339920000002</v>
      </c>
    </row>
    <row r="194" spans="1:6" x14ac:dyDescent="0.4">
      <c r="A194" s="4">
        <v>168.28560000000002</v>
      </c>
      <c r="B194" s="4">
        <v>1.0634155000000001</v>
      </c>
      <c r="C194" s="4">
        <v>1.0377733</v>
      </c>
      <c r="D194" s="4">
        <v>-30.547998</v>
      </c>
      <c r="E194" s="4">
        <f>((-49.2578856/(10/9))+-10.5)+-0.4</f>
        <v>-55.232097039999999</v>
      </c>
      <c r="F194" s="4">
        <f>((-0.40667173*(1.3/1.5))*0.6)-0.3</f>
        <v>-0.51146929959999998</v>
      </c>
    </row>
    <row r="195" spans="1:6" x14ac:dyDescent="0.4">
      <c r="A195" s="4">
        <v>169.16052500000001</v>
      </c>
      <c r="B195" s="4">
        <v>1.0632291</v>
      </c>
      <c r="C195" s="4">
        <v>1.0378003</v>
      </c>
      <c r="D195" s="4">
        <v>-30.550338</v>
      </c>
      <c r="E195" s="4">
        <f>((-49.1108265/(10/9))+-10.5)+-0.4</f>
        <v>-55.099743849999996</v>
      </c>
      <c r="F195" s="4">
        <f>((-0.40679738*(1.3/1.5))*0.6)-0.3</f>
        <v>-0.51153463759999995</v>
      </c>
    </row>
    <row r="196" spans="1:6" x14ac:dyDescent="0.4">
      <c r="A196" s="4">
        <v>170.03545000000003</v>
      </c>
      <c r="B196" s="4">
        <v>1.063555</v>
      </c>
      <c r="C196" s="4">
        <v>1.0378921999999999</v>
      </c>
      <c r="D196" s="4">
        <v>-30.552540999999998</v>
      </c>
      <c r="E196" s="4">
        <f>((-49.2677388/(10/9))+-10.5)+-0.4</f>
        <v>-55.240964919999996</v>
      </c>
      <c r="F196" s="4">
        <f>((-0.40691736*(1.3/1.5))*0.6)-0.3</f>
        <v>-0.5115970272</v>
      </c>
    </row>
    <row r="197" spans="1:6" x14ac:dyDescent="0.4">
      <c r="A197" s="4">
        <v>170.91037499999999</v>
      </c>
      <c r="B197" s="4">
        <v>1.0635421</v>
      </c>
      <c r="C197" s="4">
        <v>1.0381320999999999</v>
      </c>
      <c r="D197" s="4">
        <v>-30.554406</v>
      </c>
      <c r="E197" s="4">
        <f>((-49.4049303/(10/9))+-10.5)+-0.4</f>
        <v>-55.364437269999996</v>
      </c>
      <c r="F197" s="4">
        <f>((-0.40698361*(1.3/1.5))*0.6)-0.3</f>
        <v>-0.51163147720000002</v>
      </c>
    </row>
    <row r="198" spans="1:6" x14ac:dyDescent="0.4">
      <c r="A198" s="4">
        <v>171.78529999999998</v>
      </c>
      <c r="B198" s="4">
        <v>1.0632699000000001</v>
      </c>
      <c r="C198" s="4">
        <v>1.037973</v>
      </c>
      <c r="D198" s="4">
        <v>-30.556504</v>
      </c>
      <c r="E198" s="4">
        <f>((-49.2991875/(10/9))+-10.5)+-0.4</f>
        <v>-55.269268750000002</v>
      </c>
      <c r="F198" s="4">
        <f>((-0.40704843*(1.3/1.5))*0.6)-0.3</f>
        <v>-0.51166518360000002</v>
      </c>
    </row>
    <row r="199" spans="1:6" x14ac:dyDescent="0.4">
      <c r="A199" s="4">
        <v>172.660225</v>
      </c>
      <c r="B199" s="4">
        <v>1.0632702999999999</v>
      </c>
      <c r="C199" s="4">
        <v>1.0380815999999999</v>
      </c>
      <c r="D199" s="4">
        <v>-30.558565999999999</v>
      </c>
      <c r="E199" s="4">
        <f>((-49.3919046/(10/9))+-10.5)+-0.4</f>
        <v>-55.352714139999996</v>
      </c>
      <c r="F199" s="4">
        <f>((-0.40716773*(1.3/1.5))*0.6)-0.3</f>
        <v>-0.51172721960000001</v>
      </c>
    </row>
    <row r="200" spans="1:6" x14ac:dyDescent="0.4">
      <c r="A200" s="4">
        <v>173.53514999999999</v>
      </c>
      <c r="B200" s="4">
        <v>1.0633482999999999</v>
      </c>
      <c r="C200" s="4">
        <v>1.0380137</v>
      </c>
      <c r="D200" s="4">
        <v>-30.560520999999998</v>
      </c>
      <c r="E200" s="4">
        <f>((-49.3366851/(10/9))+-10.5)+-0.4</f>
        <v>-55.303016589999991</v>
      </c>
      <c r="F200" s="4">
        <f>((-0.40728208*(1.3/1.5))*0.6)-0.3</f>
        <v>-0.51178668159999996</v>
      </c>
    </row>
    <row r="201" spans="1:6" x14ac:dyDescent="0.4">
      <c r="A201" s="4">
        <v>174.41007500000001</v>
      </c>
      <c r="B201" s="4">
        <v>1.06318</v>
      </c>
      <c r="C201" s="4">
        <v>1.0379833999999999</v>
      </c>
      <c r="D201" s="4">
        <v>-30.562556000000001</v>
      </c>
      <c r="E201" s="4">
        <f>((-49.1830614/(10/9))+-10.5)+-0.4</f>
        <v>-55.16475526</v>
      </c>
      <c r="F201" s="4">
        <f>((-0.40746135*(1.3/1.5))*0.6)-0.3</f>
        <v>-0.511879902</v>
      </c>
    </row>
    <row r="202" spans="1:6" x14ac:dyDescent="0.4">
      <c r="A202" s="4">
        <v>175.285</v>
      </c>
      <c r="B202" s="4">
        <v>1.0629763999999999</v>
      </c>
      <c r="C202" s="4">
        <v>1.0379338</v>
      </c>
      <c r="D202" s="4">
        <v>-30.564558999999999</v>
      </c>
      <c r="E202" s="4">
        <f>((-49.3729533/(10/9))+-10.5)+-0.4</f>
        <v>-55.335657969999993</v>
      </c>
      <c r="F202" s="4">
        <f>((-0.40754879*(1.3/1.5))*0.6)-0.3</f>
        <v>-0.5119253708</v>
      </c>
    </row>
    <row r="203" spans="1:6" x14ac:dyDescent="0.4">
      <c r="A203" s="4">
        <v>176.15992499999999</v>
      </c>
      <c r="B203" s="4">
        <v>1.0630975</v>
      </c>
      <c r="C203" s="4">
        <v>1.0380739999999999</v>
      </c>
      <c r="D203" s="4">
        <v>-30.566981999999999</v>
      </c>
      <c r="E203" s="4">
        <f>((-49.2141051/(10/9))+-10.5)+-0.4</f>
        <v>-55.192694589999995</v>
      </c>
      <c r="F203" s="4">
        <f>((-0.40766394*(1.3/1.5))*0.6)-0.3</f>
        <v>-0.51198524879999996</v>
      </c>
    </row>
    <row r="204" spans="1:6" x14ac:dyDescent="0.4">
      <c r="A204" s="4">
        <v>177.03485000000001</v>
      </c>
      <c r="B204" s="4">
        <v>1.0628781</v>
      </c>
      <c r="C204" s="4">
        <v>1.038178</v>
      </c>
      <c r="D204" s="4">
        <v>-30.569143999999998</v>
      </c>
      <c r="E204" s="4">
        <f>((-49.1891148/(10/9))+-10.5)+-0.4</f>
        <v>-55.170203319999999</v>
      </c>
      <c r="F204" s="4">
        <f>((-0.40776497*(1.3/1.5))*0.6)-0.3</f>
        <v>-0.51203778439999992</v>
      </c>
    </row>
    <row r="205" spans="1:6" x14ac:dyDescent="0.4">
      <c r="A205" s="4">
        <v>177.909775</v>
      </c>
      <c r="B205" s="4">
        <v>1.0631297</v>
      </c>
      <c r="C205" s="4">
        <v>1.0380959999999999</v>
      </c>
      <c r="D205" s="4">
        <v>-30.570985</v>
      </c>
      <c r="E205" s="4">
        <f>((-49.3032141/(10/9))+-10.5)+-0.4</f>
        <v>-55.272892689999992</v>
      </c>
      <c r="F205" s="4">
        <f>((-0.40786326*(1.3/1.5))*0.6)-0.3</f>
        <v>-0.5120888952</v>
      </c>
    </row>
    <row r="206" spans="1:6" x14ac:dyDescent="0.4">
      <c r="A206" s="4">
        <v>178.78470000000002</v>
      </c>
      <c r="B206" s="4">
        <v>1.0638018</v>
      </c>
      <c r="C206" s="4">
        <v>1.0382340000000001</v>
      </c>
      <c r="D206" s="4">
        <v>-30.573080999999998</v>
      </c>
      <c r="E206" s="4">
        <f>((-49.1437206/(10/9))+-10.5)+-0.4</f>
        <v>-55.129348539999995</v>
      </c>
      <c r="F206" s="4">
        <f>((-0.40797609*(1.3/1.5))*0.6)-0.3</f>
        <v>-0.51214756679999995</v>
      </c>
    </row>
    <row r="207" spans="1:6" x14ac:dyDescent="0.4">
      <c r="A207" s="4">
        <v>179.65962500000001</v>
      </c>
      <c r="B207" s="4">
        <v>1.0639247000000001</v>
      </c>
      <c r="C207" s="4">
        <v>1.0382165999999999</v>
      </c>
      <c r="D207" s="4">
        <v>-30.574683</v>
      </c>
      <c r="E207" s="4">
        <f>((-49.2641919/(10/9))+-10.5)+-0.4</f>
        <v>-55.237772709999994</v>
      </c>
      <c r="F207" s="4">
        <f>((-0.40804657*(1.3/1.5))*0.6)-0.3</f>
        <v>-0.5121842164</v>
      </c>
    </row>
    <row r="208" spans="1:6" x14ac:dyDescent="0.4">
      <c r="A208" s="4">
        <v>180.53455</v>
      </c>
      <c r="B208" s="4">
        <v>1.0638075</v>
      </c>
      <c r="C208" s="4">
        <v>1.0382422</v>
      </c>
      <c r="D208" s="4">
        <v>-30.576148</v>
      </c>
      <c r="E208" s="4">
        <f>((-49.2913728/(10/9))+-10.5)+-0.4</f>
        <v>-55.262235519999997</v>
      </c>
      <c r="F208" s="4">
        <f>((-0.40815261*(1.3/1.5))*0.6)-0.3</f>
        <v>-0.51223935720000002</v>
      </c>
    </row>
    <row r="209" spans="1:6" x14ac:dyDescent="0.4">
      <c r="A209" s="4">
        <v>181.40947500000001</v>
      </c>
      <c r="B209" s="4">
        <v>1.0635726000000001</v>
      </c>
      <c r="C209" s="4">
        <v>1.0382802</v>
      </c>
      <c r="D209" s="4">
        <v>-30.577794000000001</v>
      </c>
      <c r="E209" s="4">
        <f>((-49.1900175/(10/9))+-10.5)+-0.4</f>
        <v>-55.171015750000002</v>
      </c>
      <c r="F209" s="4">
        <f>((-0.40823758*(1.3/1.5))*0.6)-0.3</f>
        <v>-0.5122835416</v>
      </c>
    </row>
    <row r="210" spans="1:6" x14ac:dyDescent="0.4">
      <c r="A210" s="4">
        <v>182.28440000000001</v>
      </c>
      <c r="B210" s="4">
        <v>1.0634317</v>
      </c>
      <c r="C210" s="4">
        <v>1.0382445</v>
      </c>
      <c r="D210" s="4">
        <v>-30.579328</v>
      </c>
      <c r="E210" s="4">
        <f>((-49.3408737/(10/9))+-10.5)+-0.4</f>
        <v>-55.306786330000001</v>
      </c>
      <c r="F210" s="4">
        <f>((-0.40831229*(1.3/1.5))*0.6)-0.3</f>
        <v>-0.51232239079999997</v>
      </c>
    </row>
    <row r="211" spans="1:6" x14ac:dyDescent="0.4">
      <c r="A211" s="4">
        <v>183.15932500000002</v>
      </c>
      <c r="B211" s="4">
        <v>1.0631584000000001</v>
      </c>
      <c r="C211" s="4">
        <v>1.0381973</v>
      </c>
      <c r="D211" s="4">
        <v>-30.580698999999999</v>
      </c>
      <c r="E211" s="4">
        <f>((-49.0336956/(10/9))+-10.5)+-0.4</f>
        <v>-55.030326039999998</v>
      </c>
      <c r="F211" s="4">
        <f>((-0.40841952*(1.3/1.5))*0.6)-0.3</f>
        <v>-0.51237815040000001</v>
      </c>
    </row>
    <row r="212" spans="1:6" x14ac:dyDescent="0.4">
      <c r="A212" s="4">
        <v>184.03424999999999</v>
      </c>
      <c r="B212" s="4">
        <v>1.0634083000000001</v>
      </c>
      <c r="C212" s="4">
        <v>1.0383568000000001</v>
      </c>
      <c r="D212" s="4">
        <v>-30.582453999999998</v>
      </c>
      <c r="E212" s="4">
        <f>((-49.1521833/(10/9))+-10.5)+-0.4</f>
        <v>-55.136964969999994</v>
      </c>
      <c r="F212" s="4">
        <f>((-0.40847504*(1.3/1.5))*0.6)-0.3</f>
        <v>-0.5124070208</v>
      </c>
    </row>
    <row r="213" spans="1:6" x14ac:dyDescent="0.4">
      <c r="A213" s="4">
        <v>184.90917499999998</v>
      </c>
      <c r="B213" s="4">
        <v>1.0635242</v>
      </c>
      <c r="C213" s="4">
        <v>1.0381807999999999</v>
      </c>
      <c r="D213" s="4">
        <v>-30.583959</v>
      </c>
      <c r="E213" s="4">
        <f>((-49.0367961/(10/9))+-10.5)+-0.4</f>
        <v>-55.033116489999991</v>
      </c>
      <c r="F213" s="4">
        <f>((-0.40858603*(1.3/1.5))*0.6)-0.3</f>
        <v>-0.51246473559999994</v>
      </c>
    </row>
    <row r="214" spans="1:6" x14ac:dyDescent="0.4">
      <c r="A214" s="4">
        <v>185.7841</v>
      </c>
      <c r="B214" s="4">
        <v>1.0639235</v>
      </c>
      <c r="C214" s="4">
        <v>1.0384287999999999</v>
      </c>
      <c r="D214" s="4">
        <v>-30.585419999999999</v>
      </c>
      <c r="E214" s="4">
        <f>((-49.1654493/(10/9))+-10.5)+-0.4</f>
        <v>-55.148904369999997</v>
      </c>
      <c r="F214" s="4">
        <f>((-0.40870032*(1.3/1.5))*0.6)-0.3</f>
        <v>-0.51252416639999998</v>
      </c>
    </row>
    <row r="215" spans="1:6" x14ac:dyDescent="0.4">
      <c r="A215" s="4">
        <v>186.65902499999999</v>
      </c>
      <c r="B215" s="4">
        <v>1.0644233999999999</v>
      </c>
      <c r="C215" s="4">
        <v>1.0386280000000001</v>
      </c>
      <c r="D215" s="4">
        <v>-30.586786</v>
      </c>
      <c r="E215" s="4">
        <f>((-49.1238558/(10/9))+-10.5)+-0.4</f>
        <v>-55.111470220000001</v>
      </c>
      <c r="F215" s="4">
        <f>((-0.40883482*(1.3/1.5))*0.6)-0.3</f>
        <v>-0.51259410640000003</v>
      </c>
    </row>
    <row r="216" spans="1:6" x14ac:dyDescent="0.4">
      <c r="A216" s="4">
        <v>187.53395</v>
      </c>
      <c r="B216" s="4">
        <v>1.0640537000000001</v>
      </c>
      <c r="C216" s="4">
        <v>1.0384376</v>
      </c>
      <c r="D216" s="4">
        <v>-30.588376</v>
      </c>
      <c r="E216" s="4">
        <f>((-49.0088907/(10/9))+-10.5)+-0.4</f>
        <v>-55.008001629999995</v>
      </c>
      <c r="F216" s="4">
        <f>((-0.40896648*(1.3/1.5))*0.6)-0.3</f>
        <v>-0.51266256960000001</v>
      </c>
    </row>
    <row r="217" spans="1:6" x14ac:dyDescent="0.4">
      <c r="A217" s="4">
        <v>188.40887499999999</v>
      </c>
      <c r="B217" s="4">
        <v>1.0639403999999999</v>
      </c>
      <c r="C217" s="4">
        <v>1.0384846999999999</v>
      </c>
      <c r="D217" s="4">
        <v>-30.589986</v>
      </c>
      <c r="E217" s="4">
        <f>((-49.0424877/(10/9))+-10.5)+-0.4</f>
        <v>-55.038238929999999</v>
      </c>
      <c r="F217" s="4">
        <f>((-0.40913433*(1.3/1.5))*0.6)-0.3</f>
        <v>-0.51274985159999997</v>
      </c>
    </row>
    <row r="218" spans="1:6" x14ac:dyDescent="0.4">
      <c r="A218" s="4">
        <v>189.28379999999999</v>
      </c>
      <c r="B218" s="4">
        <v>1.0642668</v>
      </c>
      <c r="C218" s="4">
        <v>1.0385762000000001</v>
      </c>
      <c r="D218" s="4">
        <v>-30.591231999999998</v>
      </c>
      <c r="E218" s="4">
        <f>((-49.0926411/(10/9))+-10.5)+-0.4</f>
        <v>-55.083376989999998</v>
      </c>
      <c r="F218" s="4">
        <f>((-0.40918565*(1.3/1.5))*0.6)-0.3</f>
        <v>-0.512776538</v>
      </c>
    </row>
    <row r="219" spans="1:6" x14ac:dyDescent="0.4">
      <c r="A219" s="4">
        <v>190.158725</v>
      </c>
      <c r="B219" s="4">
        <v>1.0641700000000001</v>
      </c>
      <c r="C219" s="4">
        <v>1.0384823999999999</v>
      </c>
      <c r="D219" s="4">
        <v>-30.592701999999999</v>
      </c>
      <c r="E219" s="4">
        <f>((-49.2523236/(10/9))+-10.5)+-0.4</f>
        <v>-55.227091239999993</v>
      </c>
      <c r="F219" s="4">
        <f>((-0.40928215*(1.3/1.5))*0.6)-0.3</f>
        <v>-0.51282671800000001</v>
      </c>
    </row>
    <row r="220" spans="1:6" x14ac:dyDescent="0.4">
      <c r="A220" s="4">
        <v>191.03364999999999</v>
      </c>
      <c r="B220" s="4">
        <v>1.0647104000000001</v>
      </c>
      <c r="C220" s="4">
        <v>1.0384116000000001</v>
      </c>
      <c r="D220" s="4">
        <v>-30.593795</v>
      </c>
      <c r="E220" s="4">
        <f>((-48.9593178/(10/9))+-10.5)+-0.4</f>
        <v>-54.963386019999994</v>
      </c>
      <c r="F220" s="4">
        <f>((-0.4093239*(1.3/1.5))*0.6)-0.3</f>
        <v>-0.51284842799999997</v>
      </c>
    </row>
    <row r="221" spans="1:6" x14ac:dyDescent="0.4">
      <c r="A221" s="4">
        <v>191.90857500000001</v>
      </c>
      <c r="B221" s="4">
        <v>1.0645009999999999</v>
      </c>
      <c r="C221" s="4">
        <v>1.0385947</v>
      </c>
      <c r="D221" s="4">
        <v>-30.594642</v>
      </c>
      <c r="E221" s="4">
        <f>((-48.8651994/(10/9))+-10.5)+-0.4</f>
        <v>-54.878679460000001</v>
      </c>
      <c r="F221" s="4">
        <f>((-0.4094716*(1.3/1.5))*0.6)-0.3</f>
        <v>-0.51292523199999995</v>
      </c>
    </row>
    <row r="222" spans="1:6" x14ac:dyDescent="0.4">
      <c r="A222" s="4">
        <v>192.7835</v>
      </c>
      <c r="B222" s="4">
        <v>1.0646347</v>
      </c>
      <c r="C222" s="4">
        <v>1.0385477999999999</v>
      </c>
      <c r="D222" s="4">
        <v>-30.595234999999999</v>
      </c>
      <c r="E222" s="4">
        <f>((-48.9062718/(10/9))+-10.5)+-0.4</f>
        <v>-54.915644619999995</v>
      </c>
      <c r="F222" s="4">
        <f>((-0.40962151*(1.3/1.5))*0.6)-0.3</f>
        <v>-0.51300318519999999</v>
      </c>
    </row>
    <row r="223" spans="1:6" x14ac:dyDescent="0.4">
      <c r="A223" s="4">
        <v>193.65842499999999</v>
      </c>
      <c r="B223" s="4">
        <v>1.0645880999999999</v>
      </c>
      <c r="C223" s="4">
        <v>1.0386605</v>
      </c>
      <c r="D223" s="4">
        <v>-30.596268999999999</v>
      </c>
      <c r="E223" s="4">
        <f>((-49.1071527/(10/9))+-10.5)+-0.4</f>
        <v>-55.096437429999995</v>
      </c>
      <c r="F223" s="4">
        <f>((-0.40975314*(1.3/1.5))*0.6)-0.3</f>
        <v>-0.51307163280000001</v>
      </c>
    </row>
    <row r="224" spans="1:6" x14ac:dyDescent="0.4">
      <c r="A224" s="4">
        <v>194.53335000000001</v>
      </c>
      <c r="B224" s="4">
        <v>1.0644708000000001</v>
      </c>
      <c r="C224" s="4">
        <v>1.0384564000000001</v>
      </c>
      <c r="D224" s="4">
        <v>-30.596657999999998</v>
      </c>
      <c r="E224" s="4">
        <f>((-48.9615912/(10/9))+-10.5)+-0.4</f>
        <v>-54.965432079999999</v>
      </c>
      <c r="F224" s="4">
        <f>((-0.40990382*(1.3/1.5))*0.6)-0.3</f>
        <v>-0.51314998639999998</v>
      </c>
    </row>
    <row r="225" spans="1:6" x14ac:dyDescent="0.4">
      <c r="A225" s="4">
        <v>195.408275</v>
      </c>
      <c r="B225" s="4">
        <v>1.0642506</v>
      </c>
      <c r="C225" s="4">
        <v>1.0384376</v>
      </c>
      <c r="D225" s="4">
        <v>-30.597180999999999</v>
      </c>
      <c r="E225" s="4">
        <f>((-48.9283398/(10/9))+-10.5)+-0.4</f>
        <v>-54.935505820000003</v>
      </c>
      <c r="F225" s="4">
        <f>((-0.4100337*(1.3/1.5))*0.6)-0.3</f>
        <v>-0.51321752399999998</v>
      </c>
    </row>
    <row r="226" spans="1:6" x14ac:dyDescent="0.4">
      <c r="A226" s="4">
        <v>196.28320000000002</v>
      </c>
      <c r="B226" s="4">
        <v>1.0643486</v>
      </c>
      <c r="C226" s="4">
        <v>1.0384253000000001</v>
      </c>
      <c r="D226" s="4">
        <v>-30.597396</v>
      </c>
      <c r="E226" s="4">
        <f>((-49.0547997/(10/9))+-10.5)+-0.4</f>
        <v>-55.049319729999993</v>
      </c>
      <c r="F226" s="4">
        <f>((-0.41009495*(1.3/1.5))*0.6)-0.3</f>
        <v>-0.51324937400000004</v>
      </c>
    </row>
    <row r="227" spans="1:6" x14ac:dyDescent="0.4">
      <c r="A227" s="4">
        <v>197.15812500000001</v>
      </c>
      <c r="B227" s="4">
        <v>1.0643399</v>
      </c>
      <c r="C227" s="4">
        <v>1.0385584000000001</v>
      </c>
      <c r="D227" s="4">
        <v>-30.597204999999999</v>
      </c>
      <c r="E227" s="4">
        <f>((-49.0544874/(10/9))+-10.5)+-0.4</f>
        <v>-55.049038659999994</v>
      </c>
      <c r="F227" s="4">
        <f>((-0.41007334*(1.3/1.5))*0.6)-0.3</f>
        <v>-0.51323813679999997</v>
      </c>
    </row>
    <row r="228" spans="1:6" x14ac:dyDescent="0.4">
      <c r="A228" s="4">
        <v>198.03304999999997</v>
      </c>
      <c r="B228" s="4">
        <v>1.0642711</v>
      </c>
      <c r="C228" s="4">
        <v>1.0387105999999999</v>
      </c>
      <c r="D228" s="4">
        <v>-30.596951999999998</v>
      </c>
      <c r="E228" s="4">
        <f>((-48.8633112/(10/9))+-10.5)+-0.4</f>
        <v>-54.876980079999996</v>
      </c>
      <c r="F228" s="4">
        <f>((-0.41005987*(1.3/1.5))*0.6)-0.3</f>
        <v>-0.51323113239999996</v>
      </c>
    </row>
    <row r="229" spans="1:6" x14ac:dyDescent="0.4">
      <c r="A229" s="4">
        <v>198.90797499999999</v>
      </c>
      <c r="B229" s="4">
        <v>1.0643716000000001</v>
      </c>
      <c r="C229" s="4">
        <v>1.0387465</v>
      </c>
      <c r="D229" s="4">
        <v>-30.596785999999998</v>
      </c>
      <c r="E229" s="4">
        <f>((-48.9364011/(10/9))+-10.5)+-0.4</f>
        <v>-54.942760989999996</v>
      </c>
      <c r="F229" s="4">
        <f>((-0.41007102*(1.3/1.5))*0.6)-0.3</f>
        <v>-0.51323693039999996</v>
      </c>
    </row>
    <row r="230" spans="1:6" x14ac:dyDescent="0.4">
      <c r="A230" s="4">
        <v>199.78289999999998</v>
      </c>
      <c r="B230" s="4">
        <v>1.0645137</v>
      </c>
      <c r="C230" s="4">
        <v>1.038713</v>
      </c>
      <c r="D230" s="4">
        <v>-30.596305000000001</v>
      </c>
      <c r="E230" s="4">
        <f>((-48.9202002/(10/9))+-10.5)+-0.4</f>
        <v>-54.928180179999991</v>
      </c>
      <c r="F230" s="4">
        <f>((-0.41014579*(1.3/1.5))*0.6)-0.3</f>
        <v>-0.51327581079999995</v>
      </c>
    </row>
    <row r="231" spans="1:6" x14ac:dyDescent="0.4">
      <c r="A231" s="4">
        <v>200.657825</v>
      </c>
      <c r="B231" s="4">
        <v>1.0645065</v>
      </c>
      <c r="C231" s="4">
        <v>1.0387328</v>
      </c>
      <c r="D231" s="4">
        <v>-30.596081999999999</v>
      </c>
      <c r="E231" s="4">
        <f>((-48.9376269/(10/9))+-10.5)+-0.4</f>
        <v>-54.943864209999994</v>
      </c>
      <c r="F231" s="4">
        <f>((-0.41021964*(1.3/1.5))*0.6)-0.3</f>
        <v>-0.5133142128</v>
      </c>
    </row>
    <row r="232" spans="1:6" x14ac:dyDescent="0.4">
      <c r="A232" s="4">
        <v>201.53274999999999</v>
      </c>
      <c r="B232" s="4">
        <v>1.0643874</v>
      </c>
      <c r="C232" s="4">
        <v>1.0386091</v>
      </c>
      <c r="D232" s="4">
        <v>-30.595396999999998</v>
      </c>
      <c r="E232" s="4">
        <f>((-49.0424706/(10/9))+-10.5)+-0.4</f>
        <v>-55.038223539999997</v>
      </c>
      <c r="F232" s="4">
        <f>((-0.41016623*(1.3/1.5))*0.6)-0.3</f>
        <v>-0.51328643959999998</v>
      </c>
    </row>
    <row r="233" spans="1:6" x14ac:dyDescent="0.4">
      <c r="A233" s="4">
        <v>202.40767499999998</v>
      </c>
      <c r="B233" s="4">
        <v>1.0645462000000001</v>
      </c>
      <c r="C233" s="4">
        <v>1.0387856</v>
      </c>
      <c r="D233" s="4">
        <v>-30.594975999999999</v>
      </c>
      <c r="E233" s="4">
        <f>((-48.9373794/(10/9))+-10.5)+-0.4</f>
        <v>-54.943641459999995</v>
      </c>
      <c r="F233" s="4">
        <f>((-0.41015869*(1.3/1.5))*0.6)-0.3</f>
        <v>-0.51328251879999998</v>
      </c>
    </row>
    <row r="234" spans="1:6" x14ac:dyDescent="0.4">
      <c r="A234" s="4">
        <v>203.2826</v>
      </c>
      <c r="B234" s="4">
        <v>1.0646099</v>
      </c>
      <c r="C234" s="4">
        <v>1.0390412</v>
      </c>
      <c r="D234" s="4">
        <v>-30.594792999999999</v>
      </c>
      <c r="E234" s="4">
        <f>((-48.7772505/(10/9))+-10.5)+-0.4</f>
        <v>-54.799525449999997</v>
      </c>
      <c r="F234" s="4">
        <f>((-0.41020569*(1.3/1.5))*0.6)-0.3</f>
        <v>-0.51330695879999999</v>
      </c>
    </row>
    <row r="235" spans="1:6" x14ac:dyDescent="0.4">
      <c r="A235" s="4">
        <v>204.15752499999999</v>
      </c>
      <c r="B235" s="4">
        <v>1.0648458000000001</v>
      </c>
      <c r="C235" s="4">
        <v>1.0388816999999999</v>
      </c>
      <c r="D235" s="4">
        <v>-30.593944</v>
      </c>
      <c r="E235" s="4">
        <f>((-48.6835992/(10/9))+-10.5)+-0.4</f>
        <v>-54.715239279999999</v>
      </c>
      <c r="F235" s="4">
        <f>((-0.41021523*(1.3/1.5))*0.6)-0.3</f>
        <v>-0.5133119196</v>
      </c>
    </row>
    <row r="236" spans="1:6" x14ac:dyDescent="0.4">
      <c r="A236" s="4">
        <v>205.03245000000001</v>
      </c>
      <c r="B236" s="4">
        <v>1.0647943</v>
      </c>
      <c r="C236" s="4">
        <v>1.0388075999999999</v>
      </c>
      <c r="D236" s="4">
        <v>-30.593430999999999</v>
      </c>
      <c r="E236" s="4">
        <f>((-48.6898164/(10/9))+-10.5)+-0.4</f>
        <v>-54.720834759999995</v>
      </c>
      <c r="F236" s="4">
        <f>((-0.41024217*(1.3/1.5))*0.6)-0.3</f>
        <v>-0.51332592840000002</v>
      </c>
    </row>
    <row r="237" spans="1:6" x14ac:dyDescent="0.4">
      <c r="A237" s="4">
        <v>205.907375</v>
      </c>
      <c r="B237" s="4">
        <v>1.0647781000000001</v>
      </c>
      <c r="C237" s="4">
        <v>1.0389807</v>
      </c>
      <c r="D237" s="4">
        <v>-30.593029999999999</v>
      </c>
      <c r="E237" s="4">
        <f>((-48.699351/(10/9))+-10.5)+-0.4</f>
        <v>-54.729415899999999</v>
      </c>
      <c r="F237" s="4">
        <f>((-0.41029739*(1.3/1.5))*0.6)-0.3</f>
        <v>-0.51335464279999998</v>
      </c>
    </row>
    <row r="238" spans="1:6" x14ac:dyDescent="0.4">
      <c r="A238" s="4">
        <v>206.78229999999999</v>
      </c>
      <c r="B238" s="4">
        <v>1.0644522999999999</v>
      </c>
      <c r="C238" s="4">
        <v>1.0388137</v>
      </c>
      <c r="D238" s="4">
        <v>-30.592168000000001</v>
      </c>
      <c r="E238" s="4">
        <f>((-48.669849/(10/9))+-10.5)+-0.4</f>
        <v>-54.702864099999999</v>
      </c>
      <c r="F238" s="4">
        <f>((-0.410276*(1.3/1.5))*0.6)-0.3</f>
        <v>-0.51334351999999994</v>
      </c>
    </row>
    <row r="239" spans="1:6" x14ac:dyDescent="0.4">
      <c r="A239" s="4">
        <v>207.65722500000001</v>
      </c>
      <c r="B239" s="4">
        <v>1.0647546999999999</v>
      </c>
      <c r="C239" s="4">
        <v>1.0390717</v>
      </c>
      <c r="D239" s="4">
        <v>-30.59122</v>
      </c>
      <c r="E239" s="4">
        <f>((-48.6277956/(10/9))+-10.5)+-0.4</f>
        <v>-54.665016039999998</v>
      </c>
      <c r="F239" s="4">
        <f>((-0.4102931*(1.3/1.5))*0.6)-0.3</f>
        <v>-0.51335241200000004</v>
      </c>
    </row>
    <row r="240" spans="1:6" x14ac:dyDescent="0.4">
      <c r="A240" s="4">
        <v>208.53215</v>
      </c>
      <c r="B240" s="4">
        <v>1.0645545999999999</v>
      </c>
      <c r="C240" s="4">
        <v>1.0388637999999999</v>
      </c>
      <c r="D240" s="4">
        <v>-30.590046999999998</v>
      </c>
      <c r="E240" s="4">
        <f>((-48.8026638/(10/9))+-10.5)+-0.4</f>
        <v>-54.822397419999994</v>
      </c>
      <c r="F240" s="4">
        <f>((-0.41031009*(1.3/1.5))*0.6)-0.3</f>
        <v>-0.51336124679999995</v>
      </c>
    </row>
    <row r="241" spans="1:6" x14ac:dyDescent="0.4">
      <c r="A241" s="4">
        <v>209.40707500000002</v>
      </c>
      <c r="B241" s="4">
        <v>1.0642309999999999</v>
      </c>
      <c r="C241" s="4">
        <v>1.0389033999999999</v>
      </c>
      <c r="D241" s="4">
        <v>-30.589209999999998</v>
      </c>
      <c r="E241" s="4">
        <f>((-48.7409067/(10/9))+-10.5)+-0.4</f>
        <v>-54.766816029999994</v>
      </c>
      <c r="F241" s="4">
        <f>((-0.41027713*(1.3/1.5))*0.6)-0.3</f>
        <v>-0.51334410759999993</v>
      </c>
    </row>
    <row r="242" spans="1:6" x14ac:dyDescent="0.4">
      <c r="A242" s="4">
        <v>210.28200000000001</v>
      </c>
      <c r="B242" s="4">
        <v>1.0642104999999999</v>
      </c>
      <c r="C242" s="4">
        <v>1.0391847999999999</v>
      </c>
      <c r="D242" s="4">
        <v>-30.588227</v>
      </c>
      <c r="E242" s="4">
        <f>((-48.9078918/(10/9))+-10.5)+-0.4</f>
        <v>-54.917102620000001</v>
      </c>
      <c r="F242" s="4">
        <f>((-0.41029102*(1.3/1.5))*0.6)-0.3</f>
        <v>-0.51335133040000003</v>
      </c>
    </row>
    <row r="243" spans="1:6" x14ac:dyDescent="0.4">
      <c r="A243" s="4">
        <v>211.156925</v>
      </c>
      <c r="B243" s="4">
        <v>1.0641602999999999</v>
      </c>
      <c r="C243" s="4">
        <v>1.0391872</v>
      </c>
      <c r="D243" s="4">
        <v>-30.587205000000001</v>
      </c>
      <c r="E243" s="4">
        <f>((-48.7687977/(10/9))+-10.5)+-0.4</f>
        <v>-54.791917929999997</v>
      </c>
      <c r="F243" s="4">
        <f>((-0.41024542*(1.3/1.5))*0.6)-0.3</f>
        <v>-0.51332761839999996</v>
      </c>
    </row>
    <row r="244" spans="1:6" x14ac:dyDescent="0.4">
      <c r="A244" s="4">
        <v>212.03185000000002</v>
      </c>
      <c r="B244" s="4">
        <v>1.0642739999999999</v>
      </c>
      <c r="C244" s="4">
        <v>1.0389128000000001</v>
      </c>
      <c r="D244" s="4">
        <v>-30.585795999999998</v>
      </c>
      <c r="E244" s="4">
        <f>((-48.7686159/(10/9))+-10.5)+-0.4</f>
        <v>-54.791754309999995</v>
      </c>
      <c r="F244" s="4">
        <f>((-0.4102166*(1.3/1.5))*0.6)-0.3</f>
        <v>-0.51331263199999999</v>
      </c>
    </row>
    <row r="245" spans="1:6" x14ac:dyDescent="0.4">
      <c r="A245" s="4">
        <v>212.90677499999998</v>
      </c>
      <c r="B245" s="4">
        <v>1.0638653</v>
      </c>
      <c r="C245" s="4">
        <v>1.0389056000000001</v>
      </c>
      <c r="D245" s="4">
        <v>-30.584962000000001</v>
      </c>
      <c r="E245" s="4">
        <f>((-48.8523627/(10/9))+-10.5)+-0.4</f>
        <v>-54.867126429999999</v>
      </c>
      <c r="F245" s="4">
        <f>((-0.41018999*(1.3/1.5))*0.6)-0.3</f>
        <v>-0.51329879480000007</v>
      </c>
    </row>
    <row r="246" spans="1:6" x14ac:dyDescent="0.4">
      <c r="A246" s="4">
        <v>213.7817</v>
      </c>
      <c r="B246" s="4">
        <v>1.0636066</v>
      </c>
      <c r="C246" s="4">
        <v>1.0390569000000001</v>
      </c>
      <c r="D246" s="4">
        <v>-30.583828999999998</v>
      </c>
      <c r="E246" s="4">
        <f>((-48.7040265/(10/9))+-10.5)+-0.4</f>
        <v>-54.733623849999994</v>
      </c>
      <c r="F246" s="4">
        <f>((-0.41010025*(1.3/1.5))*0.6)-0.3</f>
        <v>-0.51325213000000003</v>
      </c>
    </row>
    <row r="247" spans="1:6" x14ac:dyDescent="0.4">
      <c r="A247" s="4">
        <v>214.65662499999999</v>
      </c>
      <c r="B247" s="4">
        <v>1.0639451</v>
      </c>
      <c r="C247" s="4">
        <v>1.0390638999999999</v>
      </c>
      <c r="D247" s="4">
        <v>-30.582801</v>
      </c>
      <c r="E247" s="4">
        <f>((-48.534786/(10/9))+-10.5)+-0.4</f>
        <v>-54.581307399999993</v>
      </c>
      <c r="F247" s="4">
        <f>((-0.41006982*(1.3/1.5))*0.6)-0.3</f>
        <v>-0.51323630639999995</v>
      </c>
    </row>
    <row r="248" spans="1:6" x14ac:dyDescent="0.4">
      <c r="A248" s="4">
        <v>215.53154999999998</v>
      </c>
      <c r="B248" s="4">
        <v>1.0641176999999999</v>
      </c>
      <c r="C248" s="4">
        <v>1.0391599</v>
      </c>
      <c r="D248" s="4">
        <v>-30.581907999999999</v>
      </c>
      <c r="E248" s="4">
        <f>((-48.7312416/(10/9))+-10.5)+-0.4</f>
        <v>-54.758117439999992</v>
      </c>
      <c r="F248" s="4">
        <f>((-0.40998486*(1.3/1.5))*0.6)-0.3</f>
        <v>-0.51319212719999996</v>
      </c>
    </row>
    <row r="249" spans="1:6" x14ac:dyDescent="0.4">
      <c r="A249" s="4">
        <v>216.406475</v>
      </c>
      <c r="B249" s="4">
        <v>1.0639249</v>
      </c>
      <c r="C249" s="4">
        <v>1.0391717</v>
      </c>
      <c r="D249" s="4">
        <v>-30.581243000000001</v>
      </c>
      <c r="E249" s="4">
        <f>((-48.5802522/(10/9))+-10.5)+-0.4</f>
        <v>-54.622226979999994</v>
      </c>
      <c r="F249" s="4">
        <f>((-0.40998697*(1.3/1.5))*0.6)-0.3</f>
        <v>-0.51319322439999993</v>
      </c>
    </row>
    <row r="250" spans="1:6" x14ac:dyDescent="0.4">
      <c r="A250" s="4">
        <v>217.28139999999999</v>
      </c>
      <c r="B250" s="4">
        <v>1.0640837999999999</v>
      </c>
      <c r="C250" s="4">
        <v>1.0392443</v>
      </c>
      <c r="D250" s="4">
        <v>-30.580155999999999</v>
      </c>
      <c r="E250" s="4">
        <f>((-48.5795376/(10/9))+-10.5)+-0.4</f>
        <v>-54.62158384</v>
      </c>
      <c r="F250" s="4">
        <f>((-0.40988612*(1.3/1.5))*0.6)-0.3</f>
        <v>-0.51314078240000005</v>
      </c>
    </row>
    <row r="251" spans="1:6" x14ac:dyDescent="0.4">
      <c r="A251" s="4">
        <v>218.15632500000001</v>
      </c>
      <c r="B251" s="4">
        <v>1.0643537999999999</v>
      </c>
      <c r="C251" s="4">
        <v>1.0390778000000001</v>
      </c>
      <c r="D251" s="4">
        <v>-30.579142999999998</v>
      </c>
      <c r="E251" s="4">
        <f>((-48.6544887/(10/9))+-10.5)+-0.4</f>
        <v>-54.689039829999999</v>
      </c>
      <c r="F251" s="4">
        <f>((-0.40976888*(1.3/1.5))*0.6)-0.3</f>
        <v>-0.51307981759999999</v>
      </c>
    </row>
    <row r="252" spans="1:6" x14ac:dyDescent="0.4">
      <c r="A252" s="4">
        <v>219.03125</v>
      </c>
      <c r="B252" s="4">
        <v>1.0645667000000001</v>
      </c>
      <c r="C252" s="4">
        <v>1.0393057999999999</v>
      </c>
      <c r="D252" s="4">
        <v>-30.578009999999999</v>
      </c>
      <c r="E252" s="4">
        <f>((-48.8537361/(10/9))+-10.5)+-0.4</f>
        <v>-54.868362489999996</v>
      </c>
      <c r="F252" s="4">
        <f>((-0.4096998*(1.3/1.5))*0.6)-0.3</f>
        <v>-0.513043896</v>
      </c>
    </row>
    <row r="253" spans="1:6" x14ac:dyDescent="0.4">
      <c r="A253" s="4">
        <v>219.90617499999999</v>
      </c>
      <c r="B253" s="4">
        <v>1.0648791</v>
      </c>
      <c r="C253" s="4">
        <v>1.0392710999999999</v>
      </c>
      <c r="D253" s="4">
        <v>-30.576889999999999</v>
      </c>
      <c r="E253" s="4">
        <f>((-48.6024174/(10/9))+-10.5)+-0.4</f>
        <v>-54.642175659999999</v>
      </c>
      <c r="F253" s="4">
        <f>((-0.40959984*(1.3/1.5))*0.6)-0.3</f>
        <v>-0.5129919168</v>
      </c>
    </row>
    <row r="254" spans="1:6" x14ac:dyDescent="0.4">
      <c r="A254" s="4">
        <v>220.78110000000001</v>
      </c>
      <c r="B254" s="4">
        <v>1.0646827999999999</v>
      </c>
      <c r="C254" s="4">
        <v>1.0394452000000001</v>
      </c>
      <c r="D254" s="4">
        <v>-30.575896</v>
      </c>
      <c r="E254" s="4">
        <f>((-48.6583749/(10/9))+-10.5)+-0.4</f>
        <v>-54.692537409999993</v>
      </c>
      <c r="F254" s="4">
        <f>((-0.40944782*(1.3/1.5))*0.6)-0.3</f>
        <v>-0.5129128664</v>
      </c>
    </row>
    <row r="255" spans="1:6" x14ac:dyDescent="0.4">
      <c r="A255" s="4">
        <v>221.656025</v>
      </c>
      <c r="B255" s="4">
        <v>1.0647123999999999</v>
      </c>
      <c r="C255" s="4">
        <v>1.0393007999999999</v>
      </c>
      <c r="D255" s="4">
        <v>-30.574618999999998</v>
      </c>
      <c r="E255" s="4">
        <f>((-48.4798473/(10/9))+-10.5)+-0.4</f>
        <v>-54.531862570000001</v>
      </c>
      <c r="F255" s="4">
        <f>((-0.40934399*(1.3/1.5))*0.6)-0.3</f>
        <v>-0.51285887480000003</v>
      </c>
    </row>
    <row r="256" spans="1:6" x14ac:dyDescent="0.4">
      <c r="A256" s="4">
        <v>222.53095000000002</v>
      </c>
      <c r="B256" s="4">
        <v>1.0647012</v>
      </c>
      <c r="C256" s="4">
        <v>1.0393163999999999</v>
      </c>
      <c r="D256" s="4">
        <v>-30.573404</v>
      </c>
      <c r="E256" s="4">
        <f>((-48.4721496/(10/9))+-10.5)+-0.4</f>
        <v>-54.524934639999998</v>
      </c>
      <c r="F256" s="4">
        <f>((-0.40916905*(1.3/1.5))*0.6)-0.3</f>
        <v>-0.512767906</v>
      </c>
    </row>
    <row r="257" spans="1:6" x14ac:dyDescent="0.4">
      <c r="A257" s="4">
        <v>223.40587500000001</v>
      </c>
      <c r="B257" s="4">
        <v>1.0646867</v>
      </c>
      <c r="C257" s="4">
        <v>1.0392958999999999</v>
      </c>
      <c r="D257" s="4">
        <v>-30.572243999999998</v>
      </c>
      <c r="E257" s="4">
        <f>((-48.5474787/(10/9))+-10.5)+-0.4</f>
        <v>-54.592730829999994</v>
      </c>
      <c r="F257" s="4">
        <f>((-0.40898609*(1.3/1.5))*0.6)-0.3</f>
        <v>-0.51267276679999996</v>
      </c>
    </row>
    <row r="258" spans="1:6" x14ac:dyDescent="0.4">
      <c r="A258" s="4">
        <v>224.2808</v>
      </c>
      <c r="B258" s="4">
        <v>1.0646564999999999</v>
      </c>
      <c r="C258" s="4">
        <v>1.0395243999999999</v>
      </c>
      <c r="D258" s="4">
        <v>-30.570657000000001</v>
      </c>
      <c r="E258" s="4">
        <f>((-48.5088372/(10/9))+-10.5)+-0.4</f>
        <v>-54.557953480000002</v>
      </c>
      <c r="F258" s="4">
        <f>((-0.40887433*(1.3/1.5))*0.6)-0.3</f>
        <v>-0.51261465159999997</v>
      </c>
    </row>
    <row r="259" spans="1:6" x14ac:dyDescent="0.4">
      <c r="A259" s="4">
        <v>225.15572500000002</v>
      </c>
      <c r="B259" s="4">
        <v>1.0649550000000001</v>
      </c>
      <c r="C259" s="4">
        <v>1.0394338000000001</v>
      </c>
      <c r="D259" s="4">
        <v>-30.569281999999998</v>
      </c>
      <c r="E259" s="4">
        <f>((-48.3942636/(10/9))+-10.5)+-0.4</f>
        <v>-54.454837239999996</v>
      </c>
      <c r="F259" s="4">
        <f>((-0.40874401*(1.3/1.5))*0.6)-0.3</f>
        <v>-0.51254688520000002</v>
      </c>
    </row>
    <row r="260" spans="1:6" x14ac:dyDescent="0.4">
      <c r="A260" s="4">
        <v>226.03064999999998</v>
      </c>
      <c r="B260" s="4">
        <v>1.0649279</v>
      </c>
      <c r="C260" s="4">
        <v>1.0394441000000001</v>
      </c>
      <c r="D260" s="4">
        <v>-30.567824999999999</v>
      </c>
      <c r="E260" s="4">
        <f>((-48.6098874/(10/9))+-10.5)+-0.4</f>
        <v>-54.648898659999993</v>
      </c>
      <c r="F260" s="4">
        <f>((-0.40857756*(1.3/1.5))*0.6)-0.3</f>
        <v>-0.51246033120000001</v>
      </c>
    </row>
    <row r="261" spans="1:6" x14ac:dyDescent="0.4">
      <c r="A261" s="4">
        <v>226.905575</v>
      </c>
      <c r="B261" s="4">
        <v>1.0650147000000001</v>
      </c>
      <c r="C261" s="4">
        <v>1.0392178999999999</v>
      </c>
      <c r="D261" s="4">
        <v>-30.566694999999999</v>
      </c>
      <c r="E261" s="4">
        <f>((-48.507993/(10/9))+-10.5)+-0.4</f>
        <v>-54.557193699999999</v>
      </c>
      <c r="F261" s="4">
        <f>((-0.40842956*(1.3/1.5))*0.6)-0.3</f>
        <v>-0.51238337119999999</v>
      </c>
    </row>
    <row r="262" spans="1:6" x14ac:dyDescent="0.4">
      <c r="A262" s="4">
        <v>227.78049999999999</v>
      </c>
      <c r="B262" s="4">
        <v>1.064738</v>
      </c>
      <c r="C262" s="4">
        <v>1.0394578999999999</v>
      </c>
      <c r="D262" s="4">
        <v>-30.565749</v>
      </c>
      <c r="E262" s="4">
        <f>((-48.3869817/(10/9))+-10.5)+-0.4</f>
        <v>-54.448283529999998</v>
      </c>
      <c r="F262" s="4">
        <f>((-0.40828183*(1.3/1.5))*0.6)-0.3</f>
        <v>-0.51230655160000005</v>
      </c>
    </row>
    <row r="263" spans="1:6" x14ac:dyDescent="0.4">
      <c r="A263" s="4">
        <v>228.65542499999998</v>
      </c>
      <c r="B263" s="4">
        <v>1.0646728999999999</v>
      </c>
      <c r="C263" s="4">
        <v>1.0395277999999999</v>
      </c>
      <c r="D263" s="4">
        <v>-30.564413999999999</v>
      </c>
      <c r="E263" s="4">
        <f>((-48.4040484/(10/9))+-10.5)+-0.4</f>
        <v>-54.463643559999994</v>
      </c>
      <c r="F263" s="4">
        <f>((-0.40808421*(1.3/1.5))*0.6)-0.3</f>
        <v>-0.51220378919999998</v>
      </c>
    </row>
    <row r="264" spans="1:6" x14ac:dyDescent="0.4">
      <c r="A264" s="4">
        <v>229.53035</v>
      </c>
      <c r="B264" s="4">
        <v>1.0647180999999999</v>
      </c>
      <c r="C264" s="4">
        <v>1.0394709</v>
      </c>
      <c r="D264" s="4">
        <v>-30.563281</v>
      </c>
      <c r="E264" s="4">
        <f>((-48.3529347/(10/9))+-10.5)+-0.4</f>
        <v>-54.417641229999994</v>
      </c>
      <c r="F264" s="4">
        <f>((-0.40788868*(1.3/1.5))*0.6)-0.3</f>
        <v>-0.51210211360000002</v>
      </c>
    </row>
    <row r="265" spans="1:6" x14ac:dyDescent="0.4">
      <c r="A265" s="4">
        <v>230.40527499999999</v>
      </c>
      <c r="B265" s="4">
        <v>1.0649468</v>
      </c>
      <c r="C265" s="4">
        <v>1.0394235999999999</v>
      </c>
      <c r="D265" s="4">
        <v>-30.56166</v>
      </c>
      <c r="E265" s="4">
        <f>((-48.4828137/(10/9))+-10.5)+-0.4</f>
        <v>-54.534532329999998</v>
      </c>
      <c r="F265" s="4">
        <f>((-0.40775484*(1.3/1.5))*0.6)-0.3</f>
        <v>-0.51203251679999995</v>
      </c>
    </row>
    <row r="266" spans="1:6" x14ac:dyDescent="0.4">
      <c r="A266" s="4">
        <v>231.28020000000001</v>
      </c>
      <c r="B266" s="4">
        <v>1.0650241</v>
      </c>
      <c r="C266" s="4">
        <v>1.0394276</v>
      </c>
      <c r="D266" s="4">
        <v>-30.560417999999999</v>
      </c>
      <c r="E266" s="4">
        <f>((-48.3179328/(10/9))+-10.5)+-0.4</f>
        <v>-54.38613952</v>
      </c>
      <c r="F266" s="4">
        <f>((-0.40760696*(1.3/1.5))*0.6)-0.3</f>
        <v>-0.51195561919999999</v>
      </c>
    </row>
    <row r="267" spans="1:6" x14ac:dyDescent="0.4">
      <c r="A267" s="4">
        <v>232.155125</v>
      </c>
      <c r="B267" s="4">
        <v>1.0652432000000001</v>
      </c>
      <c r="C267" s="4">
        <v>1.0394262999999999</v>
      </c>
      <c r="D267" s="4">
        <v>-30.559412999999999</v>
      </c>
      <c r="E267" s="4">
        <f>((-48.315519/(10/9))+-10.5)+-0.4</f>
        <v>-54.3839671</v>
      </c>
      <c r="F267" s="4">
        <f>((-0.40747041*(1.3/1.5))*0.6)-0.3</f>
        <v>-0.5118846132</v>
      </c>
    </row>
    <row r="268" spans="1:6" x14ac:dyDescent="0.4">
      <c r="A268" s="4">
        <v>233.03004999999999</v>
      </c>
      <c r="B268" s="4">
        <v>1.0648305</v>
      </c>
      <c r="C268" s="4">
        <v>1.0393049000000001</v>
      </c>
      <c r="D268" s="4">
        <v>-30.557962</v>
      </c>
      <c r="E268" s="4">
        <f>((-48.495915/(10/9))+-10.5)+-0.4</f>
        <v>-54.546323499999993</v>
      </c>
      <c r="F268" s="4">
        <f>((-0.40734825*(1.3/1.5))*0.6)-0.3</f>
        <v>-0.51182108999999998</v>
      </c>
    </row>
    <row r="269" spans="1:6" x14ac:dyDescent="0.4">
      <c r="A269" s="4">
        <v>233.90497500000001</v>
      </c>
      <c r="B269" s="4">
        <v>1.0648974</v>
      </c>
      <c r="C269" s="4">
        <v>1.0394934</v>
      </c>
      <c r="D269" s="4">
        <v>-30.556664999999999</v>
      </c>
      <c r="E269" s="4">
        <f>((-48.3809913/(10/9))+-10.5)+-0.4</f>
        <v>-54.442892169999993</v>
      </c>
      <c r="F269" s="4">
        <f>((-0.40718904*(1.3/1.5))*0.6)-0.3</f>
        <v>-0.51173830080000005</v>
      </c>
    </row>
    <row r="270" spans="1:6" x14ac:dyDescent="0.4">
      <c r="A270" s="4">
        <v>234.7799</v>
      </c>
      <c r="B270" s="4">
        <v>1.0648253999999999</v>
      </c>
      <c r="C270" s="4">
        <v>1.0395037</v>
      </c>
      <c r="D270" s="4">
        <v>-30.555492000000001</v>
      </c>
      <c r="E270" s="4">
        <f>((-48.4109703/(10/9))+-10.5)+-0.4</f>
        <v>-54.469873270000001</v>
      </c>
      <c r="F270" s="4">
        <f>((-0.40707618*(1.3/1.5))*0.6)-0.3</f>
        <v>-0.51167961360000003</v>
      </c>
    </row>
    <row r="271" spans="1:6" x14ac:dyDescent="0.4">
      <c r="A271" s="4">
        <v>235.65482500000002</v>
      </c>
      <c r="B271" s="4">
        <v>1.0649588999999999</v>
      </c>
      <c r="C271" s="4">
        <v>1.0394498999999999</v>
      </c>
      <c r="D271" s="4">
        <v>-30.554238999999999</v>
      </c>
      <c r="E271" s="4">
        <f>((-48.3517845/(10/9))+-10.5)+-0.4</f>
        <v>-54.416606049999999</v>
      </c>
      <c r="F271" s="4">
        <f>((-0.40696445*(1.3/1.5))*0.6)-0.3</f>
        <v>-0.511621514</v>
      </c>
    </row>
    <row r="272" spans="1:6" x14ac:dyDescent="0.4">
      <c r="A272" s="4">
        <v>236.52975000000001</v>
      </c>
      <c r="B272" s="4">
        <v>1.0651044999999999</v>
      </c>
      <c r="C272" s="4">
        <v>1.0396235</v>
      </c>
      <c r="D272" s="4">
        <v>-30.553179999999998</v>
      </c>
      <c r="E272" s="4">
        <f>((-48.3188634/(10/9))+-10.5)+-0.4</f>
        <v>-54.386977059999992</v>
      </c>
      <c r="F272" s="4">
        <f>((-0.40691948*(1.3/1.5))*0.6)-0.3</f>
        <v>-0.51159812959999995</v>
      </c>
    </row>
    <row r="273" spans="1:6" x14ac:dyDescent="0.4">
      <c r="A273" s="4">
        <v>237.404675</v>
      </c>
      <c r="B273" s="4">
        <v>1.0651870999999999</v>
      </c>
      <c r="C273" s="4">
        <v>1.0395455</v>
      </c>
      <c r="D273" s="4">
        <v>-30.552060000000001</v>
      </c>
      <c r="E273" s="4">
        <f>((-48.4375572/(10/9))+-10.5)+-0.4</f>
        <v>-54.493801479999995</v>
      </c>
      <c r="F273" s="4">
        <f>((-0.40686488*(1.3/1.5))*0.6)-0.3</f>
        <v>-0.51156973759999991</v>
      </c>
    </row>
    <row r="274" spans="1:6" x14ac:dyDescent="0.4">
      <c r="A274" s="4">
        <v>238.27960000000002</v>
      </c>
      <c r="B274" s="4">
        <v>1.0651268</v>
      </c>
      <c r="C274" s="4">
        <v>1.0398019999999999</v>
      </c>
      <c r="D274" s="4">
        <v>-30.550612999999998</v>
      </c>
      <c r="E274" s="4">
        <f>((-48.2816439/(10/9))+-10.5)+-0.4</f>
        <v>-54.353479509999993</v>
      </c>
      <c r="F274" s="4">
        <f>((-0.40673158*(1.3/1.5))*0.6)-0.3</f>
        <v>-0.51150042159999998</v>
      </c>
    </row>
    <row r="275" spans="1:6" x14ac:dyDescent="0.4">
      <c r="A275" s="4">
        <v>239.15452500000001</v>
      </c>
      <c r="B275" s="4">
        <v>1.0650778999999999</v>
      </c>
      <c r="C275" s="4">
        <v>1.0397612000000001</v>
      </c>
      <c r="D275" s="4">
        <v>-30.549389999999999</v>
      </c>
      <c r="E275" s="4">
        <f>((-48.2287995/(10/9))+-10.5)+-0.4</f>
        <v>-54.305919549999999</v>
      </c>
      <c r="F275" s="4">
        <f>((-0.40667272*(1.3/1.5))*0.6)-0.3</f>
        <v>-0.51146981439999994</v>
      </c>
    </row>
    <row r="276" spans="1:6" x14ac:dyDescent="0.4">
      <c r="A276" s="4">
        <v>240.02945000000003</v>
      </c>
      <c r="B276" s="4">
        <v>1.0649788</v>
      </c>
      <c r="C276" s="4">
        <v>1.0398003</v>
      </c>
      <c r="D276" s="4">
        <v>-30.547882999999999</v>
      </c>
      <c r="E276" s="4">
        <f>((-48.3505551/(10/9))+-10.5)+-0.4</f>
        <v>-54.415499589999996</v>
      </c>
      <c r="F276" s="4">
        <f>((-0.40661681*(1.3/1.5))*0.6)-0.3</f>
        <v>-0.51144074119999994</v>
      </c>
    </row>
    <row r="277" spans="1:6" x14ac:dyDescent="0.4">
      <c r="A277" s="4">
        <v>240.90437499999999</v>
      </c>
      <c r="B277" s="4">
        <v>1.0647739000000001</v>
      </c>
      <c r="C277" s="4">
        <v>1.0396647000000001</v>
      </c>
      <c r="D277" s="4">
        <v>-30.54655</v>
      </c>
      <c r="E277" s="4">
        <f>((-48.3329124/(10/9))+-10.5)+-0.4</f>
        <v>-54.399621159999995</v>
      </c>
      <c r="F277" s="4">
        <f>((-0.40658554*(1.3/1.5))*0.6)-0.3</f>
        <v>-0.51142448080000003</v>
      </c>
    </row>
    <row r="278" spans="1:6" x14ac:dyDescent="0.4">
      <c r="A278" s="4">
        <v>241.77929999999998</v>
      </c>
      <c r="B278" s="4">
        <v>1.0648153</v>
      </c>
      <c r="C278" s="4">
        <v>1.0396799999999999</v>
      </c>
      <c r="D278" s="4">
        <v>-30.545674999999999</v>
      </c>
      <c r="E278" s="4">
        <f>((-48.3048423/(10/9))+-10.5)+-0.4</f>
        <v>-54.374358069999992</v>
      </c>
      <c r="F278" s="4">
        <f>((-0.40669784*(1.3/1.5))*0.6)-0.3</f>
        <v>-0.51148287679999993</v>
      </c>
    </row>
    <row r="279" spans="1:6" x14ac:dyDescent="0.4">
      <c r="A279" s="4">
        <v>242.654225</v>
      </c>
      <c r="B279" s="4">
        <v>1.0649443000000001</v>
      </c>
      <c r="C279" s="4">
        <v>1.0397457000000001</v>
      </c>
      <c r="D279" s="4">
        <v>-30.544539999999998</v>
      </c>
      <c r="E279" s="4">
        <f>((-48.2827599/(10/9))+-10.5)+-0.4</f>
        <v>-54.354483909999999</v>
      </c>
      <c r="F279" s="4">
        <f>((-0.40678489*(1.3/1.5))*0.6)-0.3</f>
        <v>-0.51152814280000003</v>
      </c>
    </row>
    <row r="280" spans="1:6" x14ac:dyDescent="0.4">
      <c r="A280" s="4">
        <v>243.52914999999999</v>
      </c>
      <c r="B280" s="4">
        <v>1.0648886</v>
      </c>
      <c r="C280" s="4">
        <v>1.0396445999999999</v>
      </c>
      <c r="D280" s="4">
        <v>-30.543465999999999</v>
      </c>
      <c r="E280" s="4">
        <f>((-48.191175/(10/9))+-10.5)+-0.4</f>
        <v>-54.272057499999995</v>
      </c>
      <c r="F280" s="4">
        <f>((-0.40673757*(1.3/1.5))*0.6)-0.3</f>
        <v>-0.51150353640000001</v>
      </c>
    </row>
    <row r="281" spans="1:6" x14ac:dyDescent="0.4">
      <c r="A281" s="4">
        <v>244.40407500000001</v>
      </c>
      <c r="B281" s="4">
        <v>1.0645606999999999</v>
      </c>
      <c r="C281" s="4">
        <v>1.0396190999999999</v>
      </c>
      <c r="D281" s="4">
        <v>-30.542612999999999</v>
      </c>
      <c r="E281" s="4">
        <f>((-48.2390163/(10/9))+-10.5)+-0.4</f>
        <v>-54.31511467</v>
      </c>
      <c r="F281" s="4">
        <f>((-0.40671316*(1.3/1.5))*0.6)-0.3</f>
        <v>-0.51149084320000004</v>
      </c>
    </row>
    <row r="282" spans="1:6" x14ac:dyDescent="0.4">
      <c r="A282" s="4">
        <v>245.279</v>
      </c>
      <c r="B282" s="4">
        <v>1.0645914000000001</v>
      </c>
      <c r="C282" s="4">
        <v>1.0394680999999999</v>
      </c>
      <c r="D282" s="4">
        <v>-30.541591</v>
      </c>
      <c r="E282" s="4">
        <f>((-48.1662216/(10/9))+-10.5)+-0.4</f>
        <v>-54.249599439999997</v>
      </c>
      <c r="F282" s="4">
        <f>((-0.40677693*(1.3/1.5))*0.6)-0.3</f>
        <v>-0.51152400359999994</v>
      </c>
    </row>
    <row r="283" spans="1:6" x14ac:dyDescent="0.4">
      <c r="A283" s="4">
        <v>246.15392499999999</v>
      </c>
      <c r="B283" s="4">
        <v>1.0646602000000001</v>
      </c>
      <c r="C283" s="4">
        <v>1.0397902000000001</v>
      </c>
      <c r="D283" s="4">
        <v>-30.540516999999998</v>
      </c>
      <c r="E283" s="4">
        <f>((-48.2404068/(10/9))+-10.5)+-0.4</f>
        <v>-54.316366119999998</v>
      </c>
      <c r="F283" s="4">
        <f>((-0.40680793*(1.3/1.5))*0.6)-0.3</f>
        <v>-0.51154012360000001</v>
      </c>
    </row>
    <row r="284" spans="1:6" x14ac:dyDescent="0.4">
      <c r="A284" s="4">
        <v>247.02885000000001</v>
      </c>
      <c r="B284" s="4">
        <v>1.0645865000000001</v>
      </c>
      <c r="C284" s="4">
        <v>1.0396590999999999</v>
      </c>
      <c r="D284" s="4">
        <v>-30.539522999999999</v>
      </c>
      <c r="E284" s="4">
        <f>((-48.2393808/(10/9))+-10.5)+-0.4</f>
        <v>-54.315442719999993</v>
      </c>
      <c r="F284" s="4">
        <f>((-0.40690988*(1.3/1.5))*0.6)-0.3</f>
        <v>-0.51159313760000003</v>
      </c>
    </row>
    <row r="285" spans="1:6" x14ac:dyDescent="0.4">
      <c r="A285" s="4">
        <v>247.903775</v>
      </c>
      <c r="B285" s="4">
        <v>1.0645254</v>
      </c>
      <c r="C285" s="4">
        <v>1.0397266999999999</v>
      </c>
      <c r="D285" s="4">
        <v>-30.538519999999998</v>
      </c>
      <c r="E285" s="4">
        <f>((-48.2012001/(10/9))+-10.5)+-0.4</f>
        <v>-54.281080089999996</v>
      </c>
      <c r="F285" s="4">
        <f>((-0.40697581*(1.3/1.5))*0.6)-0.3</f>
        <v>-0.51162742120000004</v>
      </c>
    </row>
    <row r="286" spans="1:6" x14ac:dyDescent="0.4">
      <c r="A286" s="4">
        <v>248.77870000000001</v>
      </c>
      <c r="B286" s="4">
        <v>1.0644134000000001</v>
      </c>
      <c r="C286" s="4">
        <v>1.0397738999999999</v>
      </c>
      <c r="D286" s="4">
        <v>-30.537178999999998</v>
      </c>
      <c r="E286" s="4">
        <f>((-48.231972/(10/9))+-10.5)+-0.4</f>
        <v>-54.308774799999995</v>
      </c>
      <c r="F286" s="4">
        <f>((-0.40704557*(1.3/1.5))*0.6)-0.3</f>
        <v>-0.51166369639999998</v>
      </c>
    </row>
    <row r="287" spans="1:6" x14ac:dyDescent="0.4">
      <c r="A287" s="4">
        <v>249.65362500000001</v>
      </c>
      <c r="B287" s="4">
        <v>1.0644336000000001</v>
      </c>
      <c r="C287" s="4">
        <v>1.0397638</v>
      </c>
      <c r="D287" s="4">
        <v>-30.536263999999999</v>
      </c>
      <c r="E287" s="4">
        <f>((-48.2096556/(10/9))+-10.5)+-0.4</f>
        <v>-54.288690039999992</v>
      </c>
      <c r="F287" s="4">
        <f>((-0.40715182*(1.3/1.5))*0.6)-0.3</f>
        <v>-0.51171894640000004</v>
      </c>
    </row>
    <row r="288" spans="1:6" x14ac:dyDescent="0.4">
      <c r="A288" s="4">
        <v>250.52855</v>
      </c>
      <c r="B288" s="4">
        <v>1.0642092000000001</v>
      </c>
      <c r="C288" s="4">
        <v>1.0396464000000001</v>
      </c>
      <c r="D288" s="4">
        <v>-30.535218</v>
      </c>
      <c r="E288" s="4">
        <f>((-48.1847823/(10/9))+-10.5)+-0.4</f>
        <v>-54.266304069999997</v>
      </c>
      <c r="F288" s="4">
        <f>((-0.40731975*(1.3/1.5))*0.6)-0.3</f>
        <v>-0.51180627000000001</v>
      </c>
    </row>
    <row r="289" spans="1:6" x14ac:dyDescent="0.4">
      <c r="A289" s="4">
        <v>251.40347500000001</v>
      </c>
      <c r="B289" s="4">
        <v>1.0641704999999999</v>
      </c>
      <c r="C289" s="4">
        <v>1.039569</v>
      </c>
      <c r="D289" s="4">
        <v>-30.534123999999998</v>
      </c>
      <c r="E289" s="4">
        <f>((-48.109131/(10/9))+-10.5)+-0.4</f>
        <v>-54.198217899999996</v>
      </c>
      <c r="F289" s="4">
        <f>((-0.40743557*(1.3/1.5))*0.6)-0.3</f>
        <v>-0.51186649640000004</v>
      </c>
    </row>
    <row r="290" spans="1:6" x14ac:dyDescent="0.4">
      <c r="A290" s="4">
        <v>252.2784</v>
      </c>
      <c r="B290" s="4">
        <v>1.0642672</v>
      </c>
      <c r="C290" s="4">
        <v>1.0397495000000001</v>
      </c>
      <c r="D290" s="4">
        <v>-30.533403</v>
      </c>
      <c r="E290" s="4">
        <f>((-48.1692501/(10/9))+-10.5)+-0.4</f>
        <v>-54.252325089999999</v>
      </c>
      <c r="F290" s="4">
        <f>((-0.40757129*(1.3/1.5))*0.6)-0.3</f>
        <v>-0.51193707079999995</v>
      </c>
    </row>
    <row r="291" spans="1:6" x14ac:dyDescent="0.4">
      <c r="A291" s="4">
        <v>253.15332500000002</v>
      </c>
      <c r="B291" s="4">
        <v>1.0642263000000001</v>
      </c>
      <c r="C291" s="4">
        <v>1.0396061999999999</v>
      </c>
      <c r="D291" s="4">
        <v>-30.532557999999998</v>
      </c>
      <c r="E291" s="4">
        <f>((-48.0564036/(10/9))+-10.5)+-0.4</f>
        <v>-54.150763239999996</v>
      </c>
      <c r="F291" s="4">
        <f>((-0.4077172*(1.3/1.5))*0.6)-0.3</f>
        <v>-0.51201294399999997</v>
      </c>
    </row>
    <row r="292" spans="1:6" x14ac:dyDescent="0.4">
      <c r="A292" s="4">
        <v>254.02825000000001</v>
      </c>
      <c r="B292" s="4">
        <v>1.0639235</v>
      </c>
      <c r="C292" s="4">
        <v>1.0396087000000001</v>
      </c>
      <c r="D292" s="4">
        <v>-30.531334999999999</v>
      </c>
      <c r="E292" s="4">
        <f>((-47.9145114/(10/9))+-10.5)+-0.4</f>
        <v>-54.023060260000001</v>
      </c>
      <c r="F292" s="4">
        <f>((-0.40788728*(1.3/1.5))*0.6)-0.3</f>
        <v>-0.51210138560000007</v>
      </c>
    </row>
    <row r="293" spans="1:6" x14ac:dyDescent="0.4">
      <c r="A293" s="4">
        <v>254.90317499999998</v>
      </c>
      <c r="B293" s="4">
        <v>1.0640738000000001</v>
      </c>
      <c r="C293" s="4">
        <v>1.0395684999999999</v>
      </c>
      <c r="D293" s="4">
        <v>-30.53049</v>
      </c>
      <c r="E293" s="4">
        <f>((-48.0658581/(10/9))+-10.5)+-0.4</f>
        <v>-54.159272289999997</v>
      </c>
      <c r="F293" s="4">
        <f>((-0.40804285*(1.3/1.5))*0.6)-0.3</f>
        <v>-0.51218228199999993</v>
      </c>
    </row>
    <row r="294" spans="1:6" x14ac:dyDescent="0.4">
      <c r="A294" s="4">
        <v>255.77809999999999</v>
      </c>
      <c r="B294" s="4">
        <v>1.0642978000000001</v>
      </c>
      <c r="C294" s="4">
        <v>1.0397592</v>
      </c>
      <c r="D294" s="4">
        <v>-30.529329000000001</v>
      </c>
      <c r="E294" s="4">
        <f>((-48.0706893/(10/9))+-10.5)+-0.4</f>
        <v>-54.163620369999997</v>
      </c>
      <c r="F294" s="4">
        <f>((-0.40827736*(1.3/1.5))*0.6)-0.3</f>
        <v>-0.51230422720000002</v>
      </c>
    </row>
    <row r="295" spans="1:6" x14ac:dyDescent="0.4">
      <c r="A295" s="4">
        <v>256.65302500000001</v>
      </c>
      <c r="B295" s="4">
        <v>1.064249</v>
      </c>
      <c r="C295" s="4">
        <v>1.0399219</v>
      </c>
      <c r="D295" s="4">
        <v>-30.528524000000001</v>
      </c>
      <c r="E295" s="4">
        <f>((-47.939049/(10/9))+-10.5)+-0.4</f>
        <v>-54.045144099999995</v>
      </c>
      <c r="F295" s="4">
        <f>((-0.40842271*(1.3/1.5))*0.6)-0.3</f>
        <v>-0.51237980920000004</v>
      </c>
    </row>
    <row r="296" spans="1:6" x14ac:dyDescent="0.4">
      <c r="A296" s="4">
        <v>257.52795000000003</v>
      </c>
      <c r="B296" s="4">
        <v>1.0642239</v>
      </c>
      <c r="C296" s="4">
        <v>1.0397806999999999</v>
      </c>
      <c r="D296" s="4">
        <v>-30.527487999999998</v>
      </c>
      <c r="E296" s="4">
        <f>((-47.9748159/(10/9))+-10.5)+-0.4</f>
        <v>-54.077334309999998</v>
      </c>
      <c r="F296" s="4">
        <f>((-0.4086141*(1.3/1.5))*0.6)-0.3</f>
        <v>-0.51247933199999995</v>
      </c>
    </row>
    <row r="297" spans="1:6" x14ac:dyDescent="0.4">
      <c r="A297" s="4">
        <v>258.40287499999999</v>
      </c>
      <c r="B297" s="4">
        <v>1.0643071</v>
      </c>
      <c r="C297" s="4">
        <v>1.0397525000000001</v>
      </c>
      <c r="D297" s="4">
        <v>-30.526987999999999</v>
      </c>
      <c r="E297" s="4">
        <f>((-48.0969288/(10/9))+-10.5)+-0.4</f>
        <v>-54.187235919999999</v>
      </c>
      <c r="F297" s="4">
        <f>((-0.40882415*(1.3/1.5))*0.6)-0.3</f>
        <v>-0.51258855800000003</v>
      </c>
    </row>
    <row r="298" spans="1:6" x14ac:dyDescent="0.4">
      <c r="A298" s="4">
        <v>259.27780000000001</v>
      </c>
      <c r="B298" s="4">
        <v>1.0642668</v>
      </c>
      <c r="C298" s="4">
        <v>1.0397612000000001</v>
      </c>
      <c r="D298" s="4">
        <v>-30.526350999999998</v>
      </c>
      <c r="E298" s="4">
        <f>((-47.9713653/(10/9))+-10.5)+-0.4</f>
        <v>-54.074228769999998</v>
      </c>
      <c r="F298" s="4">
        <f>((-0.40902016*(1.3/1.5))*0.6)-0.3</f>
        <v>-0.51269048319999999</v>
      </c>
    </row>
    <row r="299" spans="1:6" x14ac:dyDescent="0.4">
      <c r="A299" s="4">
        <v>260.15272500000003</v>
      </c>
      <c r="B299" s="4">
        <v>1.0641872000000001</v>
      </c>
      <c r="C299" s="4">
        <v>1.0397510999999999</v>
      </c>
      <c r="D299" s="4">
        <v>-30.525707999999998</v>
      </c>
      <c r="E299" s="4">
        <f>((-47.9838726/(10/9))+-10.5)+-0.4</f>
        <v>-54.085485339999998</v>
      </c>
      <c r="F299" s="4">
        <f>((-0.40913424*(1.3/1.5))*0.6)-0.3</f>
        <v>-0.51274980479999999</v>
      </c>
    </row>
    <row r="300" spans="1:6" x14ac:dyDescent="0.4">
      <c r="A300" s="4">
        <v>261.02764999999999</v>
      </c>
      <c r="B300" s="4">
        <v>1.0642829</v>
      </c>
      <c r="C300" s="4">
        <v>1.0396430000000001</v>
      </c>
      <c r="D300" s="4">
        <v>-30.524953</v>
      </c>
      <c r="E300" s="4">
        <f>((-47.950866/(10/9))+-10.5)+-0.4</f>
        <v>-54.055779399999992</v>
      </c>
      <c r="F300" s="4">
        <f>((-0.40927634*(1.3/1.5))*0.6)-0.3</f>
        <v>-0.51282369679999995</v>
      </c>
    </row>
    <row r="301" spans="1:6" x14ac:dyDescent="0.4">
      <c r="A301" s="4">
        <v>261.90257500000001</v>
      </c>
      <c r="B301" s="4">
        <v>1.0642365</v>
      </c>
      <c r="C301" s="4">
        <v>1.0396363</v>
      </c>
      <c r="D301" s="4">
        <v>-30.524083000000001</v>
      </c>
      <c r="E301" s="4">
        <f>((-48.1033359/(10/9))+-10.5)+-0.4</f>
        <v>-54.193002309999997</v>
      </c>
      <c r="F301" s="4">
        <f>((-0.40938109*(1.3/1.5))*0.6)-0.3</f>
        <v>-0.51287816679999998</v>
      </c>
    </row>
    <row r="302" spans="1:6" x14ac:dyDescent="0.4">
      <c r="A302" s="4">
        <v>262.77749999999997</v>
      </c>
      <c r="B302" s="4">
        <v>1.0641567999999999</v>
      </c>
      <c r="C302" s="4">
        <v>1.0395601999999999</v>
      </c>
      <c r="D302" s="4">
        <v>-30.522957999999999</v>
      </c>
      <c r="E302" s="4">
        <f>((-47.9393307/(10/9))+-10.5)+-0.4</f>
        <v>-54.045397629999997</v>
      </c>
      <c r="F302" s="4">
        <f>((-0.40947613*(1.3/1.5))*0.6)-0.3</f>
        <v>-0.51292758760000001</v>
      </c>
    </row>
    <row r="303" spans="1:6" x14ac:dyDescent="0.4">
      <c r="A303" s="4">
        <v>263.65242499999999</v>
      </c>
      <c r="B303" s="4">
        <v>1.0642315</v>
      </c>
      <c r="C303" s="4">
        <v>1.0397761000000001</v>
      </c>
      <c r="D303" s="4">
        <v>-30.521764000000001</v>
      </c>
      <c r="E303" s="4">
        <f>((-47.9666106/(10/9))+-10.5)+-0.4</f>
        <v>-54.069949539999996</v>
      </c>
      <c r="F303" s="4">
        <f>((-0.40964463*(1.3/1.5))*0.6)-0.3</f>
        <v>-0.51301520759999997</v>
      </c>
    </row>
    <row r="304" spans="1:6" x14ac:dyDescent="0.4">
      <c r="A304" s="4">
        <v>264.52734999999996</v>
      </c>
      <c r="B304" s="4">
        <v>1.0643096000000001</v>
      </c>
      <c r="C304" s="4">
        <v>1.0397519</v>
      </c>
      <c r="D304" s="4">
        <v>-30.520934</v>
      </c>
      <c r="E304" s="4">
        <f>((-47.7990387/(10/9))+-10.5)+-0.4</f>
        <v>-53.919134829999997</v>
      </c>
      <c r="F304" s="4">
        <f>((-0.40981999*(1.3/1.5))*0.6)-0.3</f>
        <v>-0.51310639479999998</v>
      </c>
    </row>
    <row r="305" spans="1:6" x14ac:dyDescent="0.4">
      <c r="A305" s="4">
        <v>265.40227500000003</v>
      </c>
      <c r="B305" s="4">
        <v>1.0641674000000001</v>
      </c>
      <c r="C305" s="4">
        <v>1.0395852000000001</v>
      </c>
      <c r="D305" s="4">
        <v>-30.520243999999998</v>
      </c>
      <c r="E305" s="4">
        <f>((-47.7782604/(10/9))+-10.5)+-0.4</f>
        <v>-53.900434359999998</v>
      </c>
      <c r="F305" s="4">
        <f>((-0.4099718*(1.3/1.5))*0.6)-0.3</f>
        <v>-0.51318533599999994</v>
      </c>
    </row>
    <row r="306" spans="1:6" x14ac:dyDescent="0.4">
      <c r="A306" s="4">
        <v>266.27719999999999</v>
      </c>
      <c r="B306" s="4">
        <v>1.0642138000000001</v>
      </c>
      <c r="C306" s="4">
        <v>1.0396654999999999</v>
      </c>
      <c r="D306" s="4">
        <v>-30.519977000000001</v>
      </c>
      <c r="E306" s="4">
        <f>((-47.9497806/(10/9))+-10.5)+-0.4</f>
        <v>-54.054802539999997</v>
      </c>
      <c r="F306" s="4">
        <f>((-0.41011092*(1.3/1.5))*0.6)-0.3</f>
        <v>-0.51325767840000003</v>
      </c>
    </row>
    <row r="307" spans="1:6" x14ac:dyDescent="0.4">
      <c r="A307" s="4">
        <v>267.15212500000001</v>
      </c>
      <c r="B307" s="4">
        <v>1.0641974999999999</v>
      </c>
      <c r="C307" s="4">
        <v>1.0396730999999999</v>
      </c>
      <c r="D307" s="4">
        <v>-30.519268999999998</v>
      </c>
      <c r="E307" s="4">
        <f>((-47.9095335/(10/9))+-10.5)+-0.4</f>
        <v>-54.018580149999998</v>
      </c>
      <c r="F307" s="4">
        <f>((-0.41029027*(1.3/1.5))*0.6)-0.3</f>
        <v>-0.51335094040000007</v>
      </c>
    </row>
    <row r="308" spans="1:6" x14ac:dyDescent="0.4">
      <c r="A308" s="4">
        <v>268.02704999999997</v>
      </c>
      <c r="B308" s="4">
        <v>1.064319</v>
      </c>
      <c r="C308" s="4">
        <v>1.0397495999999999</v>
      </c>
      <c r="D308" s="4">
        <v>-30.518172</v>
      </c>
      <c r="E308" s="4">
        <f>((-47.8716129/(10/9))+-10.5)+-0.4</f>
        <v>-53.984451610000001</v>
      </c>
      <c r="F308" s="4">
        <f>((-0.41046599*(1.3/1.5))*0.6)-0.3</f>
        <v>-0.51344231480000002</v>
      </c>
    </row>
    <row r="309" spans="1:6" x14ac:dyDescent="0.4">
      <c r="A309" s="4">
        <v>268.90197499999999</v>
      </c>
      <c r="B309" s="4">
        <v>1.0643530000000001</v>
      </c>
      <c r="C309" s="4">
        <v>1.0397151</v>
      </c>
      <c r="D309" s="4">
        <v>-30.517658999999998</v>
      </c>
      <c r="E309" s="4">
        <f>((-47.9123622/(10/9))+-10.5)+-0.4</f>
        <v>-54.021125979999994</v>
      </c>
      <c r="F309" s="4">
        <f>((-0.41069084*(1.3/1.5))*0.6)-0.3</f>
        <v>-0.51355923679999993</v>
      </c>
    </row>
    <row r="310" spans="1:6" x14ac:dyDescent="0.4">
      <c r="A310" s="4">
        <v>269.77690000000001</v>
      </c>
      <c r="B310" s="4">
        <v>1.0640966999999999</v>
      </c>
      <c r="C310" s="4">
        <v>1.0396730000000001</v>
      </c>
      <c r="D310" s="4">
        <v>-30.516590999999998</v>
      </c>
      <c r="E310" s="4">
        <f>((-47.8621206/(10/9))+-10.5)+-0.4</f>
        <v>-53.975908539999992</v>
      </c>
      <c r="F310" s="4">
        <f>((-0.410763*(1.3/1.5))*0.6)-0.3</f>
        <v>-0.51359675999999999</v>
      </c>
    </row>
    <row r="311" spans="1:6" x14ac:dyDescent="0.4">
      <c r="A311" s="4">
        <v>270.65182500000003</v>
      </c>
      <c r="B311" s="4">
        <v>1.0641544000000001</v>
      </c>
      <c r="C311" s="4">
        <v>1.0396563999999999</v>
      </c>
      <c r="D311" s="4">
        <v>-30.515965999999999</v>
      </c>
      <c r="E311" s="4">
        <f>((-47.7946953/(10/9))+-10.5)+-0.4</f>
        <v>-53.915225769999999</v>
      </c>
      <c r="F311" s="4">
        <f>((-0.41082427*(1.3/1.5))*0.6)-0.3</f>
        <v>-0.51362862040000001</v>
      </c>
    </row>
    <row r="312" spans="1:6" x14ac:dyDescent="0.4">
      <c r="A312" s="4">
        <v>271.52674999999999</v>
      </c>
      <c r="B312" s="4">
        <v>1.0641152</v>
      </c>
      <c r="C312" s="4">
        <v>1.0394775000000001</v>
      </c>
      <c r="D312" s="4">
        <v>-30.515122999999999</v>
      </c>
      <c r="E312" s="4">
        <f>((-47.860524/(10/9))+-10.5)+-0.4</f>
        <v>-53.974471599999994</v>
      </c>
      <c r="F312" s="4">
        <f>((-0.41092792*(1.3/1.5))*0.6)-0.3</f>
        <v>-0.51368251840000001</v>
      </c>
    </row>
    <row r="313" spans="1:6" x14ac:dyDescent="0.4">
      <c r="A313" s="4">
        <v>272.40167500000001</v>
      </c>
      <c r="B313" s="4">
        <v>1.0643221</v>
      </c>
      <c r="C313" s="4">
        <v>1.0396935</v>
      </c>
      <c r="D313" s="4">
        <v>-30.514436</v>
      </c>
      <c r="E313" s="4">
        <f>((-47.7037179/(10/9))+-10.5)+-0.4</f>
        <v>-53.833346110000001</v>
      </c>
      <c r="F313" s="4">
        <f>((-0.41101*(1.3/1.5))*0.6)-0.3</f>
        <v>-0.51372519999999999</v>
      </c>
    </row>
    <row r="314" spans="1:6" x14ac:dyDescent="0.4">
      <c r="A314" s="4">
        <v>273.27659999999997</v>
      </c>
      <c r="B314" s="4">
        <v>1.0643727000000001</v>
      </c>
      <c r="C314" s="4">
        <v>1.0397425</v>
      </c>
      <c r="D314" s="4">
        <v>-30.513605999999999</v>
      </c>
      <c r="E314" s="4">
        <f>((-47.8748196/(10/9))+-10.5)+-0.4</f>
        <v>-53.98733764</v>
      </c>
      <c r="F314" s="4">
        <f>((-0.4111025*(1.3/1.5))*0.6)-0.3</f>
        <v>-0.51377329999999999</v>
      </c>
    </row>
    <row r="315" spans="1:6" x14ac:dyDescent="0.4">
      <c r="A315" s="4">
        <v>274.15152500000005</v>
      </c>
      <c r="B315" s="4">
        <v>1.064181</v>
      </c>
      <c r="C315" s="4">
        <v>1.0396833000000001</v>
      </c>
      <c r="D315" s="4">
        <v>-30.512978999999998</v>
      </c>
      <c r="E315" s="4">
        <f>((-47.7206127/(10/9))+-10.5)+-0.4</f>
        <v>-53.848551429999993</v>
      </c>
      <c r="F315" s="4">
        <f>((-0.41119438*(1.3/1.5))*0.6)-0.3</f>
        <v>-0.51382107760000006</v>
      </c>
    </row>
    <row r="316" spans="1:6" x14ac:dyDescent="0.4">
      <c r="A316" s="4">
        <v>275.02645000000001</v>
      </c>
      <c r="B316" s="4">
        <v>1.0642256000000001</v>
      </c>
      <c r="C316" s="4">
        <v>1.0396367</v>
      </c>
      <c r="D316" s="4">
        <v>-30.512138</v>
      </c>
      <c r="E316" s="4">
        <f>((-47.7344628/(10/9))+-10.5)+-0.4</f>
        <v>-53.86101652</v>
      </c>
      <c r="F316" s="4">
        <f>((-0.41125247*(1.3/1.5))*0.6)-0.3</f>
        <v>-0.51385128439999994</v>
      </c>
    </row>
    <row r="317" spans="1:6" x14ac:dyDescent="0.4">
      <c r="A317" s="4">
        <v>275.90137499999997</v>
      </c>
      <c r="B317" s="4">
        <v>1.0643180999999999</v>
      </c>
      <c r="C317" s="4">
        <v>1.0395045000000001</v>
      </c>
      <c r="D317" s="4">
        <v>-30.511588</v>
      </c>
      <c r="E317" s="4">
        <f>((-47.8525041/(10/9))+-10.5)+-0.4</f>
        <v>-53.967253689999993</v>
      </c>
      <c r="F317" s="4">
        <f>((-0.41123977*(1.3/1.5))*0.6)-0.3</f>
        <v>-0.51384468039999998</v>
      </c>
    </row>
    <row r="318" spans="1:6" x14ac:dyDescent="0.4">
      <c r="A318" s="4">
        <v>276.77629999999999</v>
      </c>
      <c r="B318" s="4">
        <v>1.0643681</v>
      </c>
      <c r="C318" s="4">
        <v>1.0395747</v>
      </c>
      <c r="D318" s="4">
        <v>-30.510724</v>
      </c>
      <c r="E318" s="4">
        <f>((-47.6598762/(10/9))+-10.5)+-0.4</f>
        <v>-53.793888579999994</v>
      </c>
      <c r="F318" s="4">
        <f>((-0.41114733*(1.3/1.5))*0.6)-0.3</f>
        <v>-0.51379661160000001</v>
      </c>
    </row>
    <row r="319" spans="1:6" x14ac:dyDescent="0.4">
      <c r="A319" s="4">
        <v>277.65122499999995</v>
      </c>
      <c r="B319" s="4">
        <v>1.0643361</v>
      </c>
      <c r="C319" s="4">
        <v>1.0397297000000001</v>
      </c>
      <c r="D319" s="4">
        <v>-30.509771999999998</v>
      </c>
      <c r="E319" s="4">
        <f>((-47.8261026/(10/9))+-10.5)+-0.4</f>
        <v>-53.943492339999999</v>
      </c>
      <c r="F319" s="4">
        <f>((-0.41117021*(1.3/1.5))*0.6)-0.3</f>
        <v>-0.51380850919999999</v>
      </c>
    </row>
    <row r="320" spans="1:6" x14ac:dyDescent="0.4">
      <c r="A320" s="4">
        <v>278.52615000000003</v>
      </c>
      <c r="B320" s="4">
        <v>1.0644385999999999</v>
      </c>
      <c r="C320" s="4">
        <v>1.0396646</v>
      </c>
      <c r="D320" s="4">
        <v>-30.509128</v>
      </c>
      <c r="E320" s="4">
        <f>((-47.8216116/(10/9))+-10.5)+-0.4</f>
        <v>-53.939450439999995</v>
      </c>
      <c r="F320" s="4">
        <f>((-0.41120005*(1.3/1.5))*0.6)-0.3</f>
        <v>-0.51382402599999999</v>
      </c>
    </row>
    <row r="321" spans="1:6" x14ac:dyDescent="0.4">
      <c r="A321" s="4">
        <v>279.40107499999999</v>
      </c>
      <c r="B321" s="4">
        <v>1.0644172000000001</v>
      </c>
      <c r="C321" s="4">
        <v>1.0396472000000001</v>
      </c>
      <c r="D321" s="4">
        <v>-30.508455999999999</v>
      </c>
      <c r="E321" s="4">
        <f>((-47.7049779/(10/9))+-10.5)+-0.4</f>
        <v>-53.834480110000001</v>
      </c>
      <c r="F321" s="4">
        <f>((-0.41121832*(1.3/1.5))*0.6)-0.3</f>
        <v>-0.51383352640000002</v>
      </c>
    </row>
    <row r="322" spans="1:6" x14ac:dyDescent="0.4">
      <c r="A322" s="4">
        <v>280.27600000000001</v>
      </c>
      <c r="B322" s="4">
        <v>1.0644302000000001</v>
      </c>
      <c r="C322" s="4">
        <v>1.0396339999999999</v>
      </c>
      <c r="D322" s="4">
        <v>-30.507425999999999</v>
      </c>
      <c r="E322" s="4">
        <f>((-47.6969922/(10/9))+-10.5)+-0.4</f>
        <v>-53.827292979999996</v>
      </c>
      <c r="F322" s="4">
        <f>((-0.41118085*(1.3/1.5))*0.6)-0.3</f>
        <v>-0.51381404200000003</v>
      </c>
    </row>
    <row r="323" spans="1:6" x14ac:dyDescent="0.4">
      <c r="A323" s="4">
        <v>281.15092499999997</v>
      </c>
      <c r="B323" s="4">
        <v>1.0643282999999999</v>
      </c>
      <c r="C323" s="4">
        <v>1.0398729</v>
      </c>
      <c r="D323" s="4">
        <v>-30.506719</v>
      </c>
      <c r="E323" s="4">
        <f>((-47.640519/(10/9))+-10.5)+-0.4</f>
        <v>-53.776467099999998</v>
      </c>
      <c r="F323" s="4">
        <f>((-0.41122979*(1.3/1.5))*0.6)-0.3</f>
        <v>-0.51383949080000002</v>
      </c>
    </row>
    <row r="324" spans="1:6" x14ac:dyDescent="0.4">
      <c r="A324" s="4">
        <v>282.02584999999999</v>
      </c>
      <c r="B324" s="4">
        <v>1.0644568999999999</v>
      </c>
      <c r="C324" s="4">
        <v>1.0397007</v>
      </c>
      <c r="D324" s="4">
        <v>-30.506156000000001</v>
      </c>
      <c r="E324" s="4">
        <f>((-47.8633185/(10/9))+-10.5)+-0.4</f>
        <v>-53.976986649999994</v>
      </c>
      <c r="F324" s="4">
        <f>((-0.41125411*(1.3/1.5))*0.6)-0.3</f>
        <v>-0.5138521372</v>
      </c>
    </row>
    <row r="325" spans="1:6" x14ac:dyDescent="0.4">
      <c r="A325" s="4">
        <v>282.90077500000001</v>
      </c>
      <c r="B325" s="4">
        <v>1.0644665</v>
      </c>
      <c r="C325" s="4">
        <v>1.0397160999999999</v>
      </c>
      <c r="D325" s="4">
        <v>-30.505364999999998</v>
      </c>
      <c r="E325" s="4">
        <f>((-47.6541594/(10/9))+-10.5)+-0.4</f>
        <v>-53.788743459999992</v>
      </c>
      <c r="F325" s="4">
        <f>((-0.41124949*(1.3/1.5))*0.6)-0.3</f>
        <v>-0.51384973479999996</v>
      </c>
    </row>
    <row r="326" spans="1:6" x14ac:dyDescent="0.4">
      <c r="A326" s="4">
        <v>283.77570000000003</v>
      </c>
      <c r="B326" s="4">
        <v>1.0644941000000001</v>
      </c>
      <c r="C326" s="4">
        <v>1.0397063</v>
      </c>
      <c r="D326" s="4">
        <v>-30.504795999999999</v>
      </c>
      <c r="E326" s="4">
        <f>((-47.5951077/(10/9))+-10.5)+-0.4</f>
        <v>-53.73559693</v>
      </c>
      <c r="F326" s="4">
        <f>((-0.41125521*(1.3/1.5))*0.6)-0.3</f>
        <v>-0.51385270920000004</v>
      </c>
    </row>
    <row r="327" spans="1:6" x14ac:dyDescent="0.4">
      <c r="A327" s="4">
        <v>284.65062499999999</v>
      </c>
      <c r="B327" s="4">
        <v>1.0645306999999999</v>
      </c>
      <c r="C327" s="4">
        <v>1.0397356</v>
      </c>
      <c r="D327" s="4">
        <v>-30.503896000000001</v>
      </c>
      <c r="E327" s="4">
        <f>((-47.693295/(10/9))+-10.5)+-0.4</f>
        <v>-53.823965499999993</v>
      </c>
      <c r="F327" s="4">
        <f>((-0.41121751*(1.3/1.5))*0.6)-0.3</f>
        <v>-0.51383310520000003</v>
      </c>
    </row>
    <row r="328" spans="1:6" x14ac:dyDescent="0.4">
      <c r="A328" s="4">
        <v>285.52555000000001</v>
      </c>
      <c r="B328" s="4">
        <v>1.0647219000000001</v>
      </c>
      <c r="C328" s="4">
        <v>1.039566</v>
      </c>
      <c r="D328" s="4">
        <v>-30.503062</v>
      </c>
      <c r="E328" s="4">
        <f>((-47.6040033/(10/9))+-10.5)+-0.4</f>
        <v>-53.743602969999998</v>
      </c>
      <c r="F328" s="4">
        <f>((-0.41112986*(1.3/1.5))*0.6)-0.3</f>
        <v>-0.51378752719999998</v>
      </c>
    </row>
    <row r="329" spans="1:6" x14ac:dyDescent="0.4">
      <c r="A329" s="4">
        <v>286.40047499999997</v>
      </c>
      <c r="B329" s="4">
        <v>1.0645517</v>
      </c>
      <c r="C329" s="4">
        <v>1.0392534</v>
      </c>
      <c r="D329" s="4">
        <v>-30.502357</v>
      </c>
      <c r="E329" s="4">
        <f>((-47.6553402/(10/9))+-10.5)+-0.4</f>
        <v>-53.789806179999992</v>
      </c>
      <c r="F329" s="4">
        <f>((-0.41105303*(1.3/1.5))*0.6)-0.3</f>
        <v>-0.51374757559999995</v>
      </c>
    </row>
    <row r="330" spans="1:6" x14ac:dyDescent="0.4">
      <c r="A330" s="4">
        <v>287.27540000000005</v>
      </c>
      <c r="B330" s="4">
        <v>1.0645998999999999</v>
      </c>
      <c r="C330" s="4">
        <v>1.0395637</v>
      </c>
      <c r="D330" s="4">
        <v>-30.501370999999999</v>
      </c>
      <c r="E330" s="4">
        <f>((-47.6699625/(10/9))+-10.5)+-0.4</f>
        <v>-53.802966249999997</v>
      </c>
      <c r="F330" s="4">
        <f>((-0.41098228*(1.3/1.5))*0.6)-0.3</f>
        <v>-0.51371078559999994</v>
      </c>
    </row>
    <row r="331" spans="1:6" x14ac:dyDescent="0.4">
      <c r="A331" s="4">
        <v>288.15032500000001</v>
      </c>
      <c r="B331" s="4">
        <v>1.0645206</v>
      </c>
      <c r="C331" s="4">
        <v>1.0395843</v>
      </c>
      <c r="D331" s="4">
        <v>-30.500170999999998</v>
      </c>
      <c r="E331" s="4">
        <f>((-47.6003061/(10/9))+-10.5)+-0.4</f>
        <v>-53.740275489999995</v>
      </c>
      <c r="F331" s="4">
        <f>((-0.4110041*(1.3/1.5))*0.6)-0.3</f>
        <v>-0.51372213199999994</v>
      </c>
    </row>
    <row r="332" spans="1:6" x14ac:dyDescent="0.4">
      <c r="A332" s="4">
        <v>289.02525000000003</v>
      </c>
      <c r="B332" s="4">
        <v>1.0646567</v>
      </c>
      <c r="C332" s="4">
        <v>1.0396388000000001</v>
      </c>
      <c r="D332" s="4">
        <v>-30.499279999999999</v>
      </c>
      <c r="E332" s="4">
        <f>((-47.5734789/(10/9))+-10.5)+-0.4</f>
        <v>-53.716131009999998</v>
      </c>
      <c r="F332" s="4">
        <f>((-0.41094479*(1.3/1.5))*0.6)-0.3</f>
        <v>-0.51369129079999998</v>
      </c>
    </row>
    <row r="333" spans="1:6" x14ac:dyDescent="0.4">
      <c r="A333" s="4">
        <v>289.90017499999999</v>
      </c>
      <c r="B333" s="4">
        <v>1.0645757</v>
      </c>
      <c r="C333" s="4">
        <v>1.0394589000000001</v>
      </c>
      <c r="D333" s="4">
        <v>-30.498321000000001</v>
      </c>
      <c r="E333" s="4">
        <f>((-47.6653797/(10/9))+-10.5)+-0.4</f>
        <v>-53.798841729999999</v>
      </c>
      <c r="F333" s="4">
        <f>((-0.41089517*(1.3/1.5))*0.6)-0.3</f>
        <v>-0.51366548840000004</v>
      </c>
    </row>
    <row r="334" spans="1:6" x14ac:dyDescent="0.4">
      <c r="A334" s="4">
        <v>290.77509999999995</v>
      </c>
      <c r="B334" s="4">
        <v>1.0644183</v>
      </c>
      <c r="C334" s="4">
        <v>1.0395842</v>
      </c>
      <c r="D334" s="4">
        <v>-30.497502999999998</v>
      </c>
      <c r="E334" s="4">
        <f>((-47.4532947/(10/9))+-10.5)+-0.4</f>
        <v>-53.607965229999998</v>
      </c>
      <c r="F334" s="4">
        <f>((-0.41086286*(1.3/1.5))*0.6)-0.3</f>
        <v>-0.51364868720000001</v>
      </c>
    </row>
    <row r="335" spans="1:6" x14ac:dyDescent="0.4">
      <c r="A335" s="4">
        <v>291.65002500000003</v>
      </c>
      <c r="B335" s="4">
        <v>1.064605</v>
      </c>
      <c r="C335" s="4">
        <v>1.0394494999999999</v>
      </c>
      <c r="D335" s="4">
        <v>-30.496675</v>
      </c>
      <c r="E335" s="4">
        <f>((-47.4777018/(10/9))+-10.5)+-0.4</f>
        <v>-53.629931619999994</v>
      </c>
      <c r="F335" s="4">
        <f>((-0.410808*(1.3/1.5))*0.6)-0.3</f>
        <v>-0.51362015999999999</v>
      </c>
    </row>
    <row r="336" spans="1:6" x14ac:dyDescent="0.4">
      <c r="A336" s="4">
        <v>292.52494999999999</v>
      </c>
      <c r="B336" s="4">
        <v>1.0647066000000001</v>
      </c>
      <c r="C336" s="4">
        <v>1.0394688000000001</v>
      </c>
      <c r="D336" s="4">
        <v>-30.495991999999998</v>
      </c>
      <c r="E336" s="4">
        <f>((-47.5731459/(10/9))+-10.5)+-0.4</f>
        <v>-53.715831309999999</v>
      </c>
      <c r="F336" s="4">
        <f>((-0.4107824*(1.3/1.5))*0.6)-0.3</f>
        <v>-0.513606848</v>
      </c>
    </row>
    <row r="337" spans="1:6" x14ac:dyDescent="0.4">
      <c r="A337" s="4">
        <v>293.39987500000001</v>
      </c>
      <c r="B337" s="4">
        <v>1.0646975000000001</v>
      </c>
      <c r="C337" s="4">
        <v>1.0394633</v>
      </c>
      <c r="D337" s="4">
        <v>-30.495245999999998</v>
      </c>
      <c r="E337" s="4">
        <f>((-47.5505451/(10/9))+-10.5)+-0.4</f>
        <v>-53.695490589999999</v>
      </c>
      <c r="F337" s="4">
        <f>((-0.41073498*(1.3/1.5))*0.6)-0.3</f>
        <v>-0.51358218960000002</v>
      </c>
    </row>
    <row r="338" spans="1:6" x14ac:dyDescent="0.4">
      <c r="A338" s="4">
        <v>294.27479999999997</v>
      </c>
      <c r="B338" s="4">
        <v>1.0646469999999999</v>
      </c>
      <c r="C338" s="4">
        <v>1.0395331000000001</v>
      </c>
      <c r="D338" s="4">
        <v>-30.494351999999999</v>
      </c>
      <c r="E338" s="4">
        <f>((-47.4891039/(10/9))+-10.5)+-0.4</f>
        <v>-53.640193510000003</v>
      </c>
      <c r="F338" s="4">
        <f>((-0.41068551*(1.3/1.5))*0.6)-0.3</f>
        <v>-0.51355646519999998</v>
      </c>
    </row>
    <row r="339" spans="1:6" x14ac:dyDescent="0.4">
      <c r="A339" s="4">
        <v>295.14972499999999</v>
      </c>
      <c r="B339" s="4">
        <v>1.0649702999999999</v>
      </c>
      <c r="C339" s="4">
        <v>1.0395232000000001</v>
      </c>
      <c r="D339" s="4">
        <v>-30.493268</v>
      </c>
      <c r="E339" s="4">
        <f>((-47.3590053/(10/9))+-10.5)+-0.4</f>
        <v>-53.523104769999996</v>
      </c>
      <c r="F339" s="4">
        <f>((-0.41066703*(1.3/1.5))*0.6)-0.3</f>
        <v>-0.51354685560000002</v>
      </c>
    </row>
    <row r="340" spans="1:6" x14ac:dyDescent="0.4">
      <c r="A340" s="4">
        <v>296.02465000000001</v>
      </c>
      <c r="B340" s="4">
        <v>1.0647038</v>
      </c>
      <c r="C340" s="4">
        <v>1.0395536000000001</v>
      </c>
      <c r="D340" s="4">
        <v>-30.492227</v>
      </c>
      <c r="E340" s="4">
        <f>((-47.4972678/(10/9))+-10.5)+-0.4</f>
        <v>-53.647541019999998</v>
      </c>
      <c r="F340" s="4">
        <f>((-0.41067791*(1.3/1.5))*0.6)-0.3</f>
        <v>-0.51355251319999995</v>
      </c>
    </row>
    <row r="341" spans="1:6" x14ac:dyDescent="0.4">
      <c r="A341" s="4">
        <v>296.89957500000003</v>
      </c>
      <c r="B341" s="4">
        <v>1.0646720000000001</v>
      </c>
      <c r="C341" s="4">
        <v>1.0396683</v>
      </c>
      <c r="D341" s="4">
        <v>-30.491861999999998</v>
      </c>
      <c r="E341" s="4">
        <f>((-47.5947405/(10/9))+-10.5)+-0.4</f>
        <v>-53.735266449999997</v>
      </c>
      <c r="F341" s="4">
        <f>((-0.41072422*(1.3/1.5))*0.6)-0.3</f>
        <v>-0.51357659439999992</v>
      </c>
    </row>
    <row r="342" spans="1:6" x14ac:dyDescent="0.4">
      <c r="A342" s="4">
        <v>297.77449999999999</v>
      </c>
      <c r="B342" s="4">
        <v>1.0646150000000001</v>
      </c>
      <c r="C342" s="4">
        <v>1.0394635999999999</v>
      </c>
      <c r="D342" s="4">
        <v>-30.491060999999998</v>
      </c>
      <c r="E342" s="4">
        <f>((-47.5270029/(10/9))+-10.5)+-0.4</f>
        <v>-53.674302609999998</v>
      </c>
      <c r="F342" s="4">
        <f>((-0.41076013*(1.3/1.5))*0.6)-0.3</f>
        <v>-0.51359526759999996</v>
      </c>
    </row>
    <row r="343" spans="1:6" x14ac:dyDescent="0.4">
      <c r="A343" s="4">
        <v>298.64942500000001</v>
      </c>
      <c r="B343" s="4">
        <v>1.0647465</v>
      </c>
      <c r="C343" s="4">
        <v>1.0395212</v>
      </c>
      <c r="D343" s="4">
        <v>-30.490469999999998</v>
      </c>
      <c r="E343" s="4">
        <f>((-47.5190892/(10/9))+-10.5)+-0.4</f>
        <v>-53.667180279999997</v>
      </c>
      <c r="F343" s="4">
        <f>((-0.41075835*(1.3/1.5))*0.6)-0.3</f>
        <v>-0.51359434199999998</v>
      </c>
    </row>
    <row r="344" spans="1:6" x14ac:dyDescent="0.4">
      <c r="A344" s="4">
        <v>299.52434999999997</v>
      </c>
      <c r="B344" s="4">
        <v>1.0647234999999999</v>
      </c>
      <c r="C344" s="4">
        <v>1.0394578000000001</v>
      </c>
      <c r="D344" s="4">
        <v>-30.489781999999998</v>
      </c>
      <c r="E344" s="4">
        <f>((-47.4360813/(10/9))+-10.5)+-0.4</f>
        <v>-53.592473169999998</v>
      </c>
      <c r="F344" s="4">
        <f>((-0.41077194*(1.3/1.5))*0.6)-0.3</f>
        <v>-0.51360140880000005</v>
      </c>
    </row>
    <row r="345" spans="1:6" x14ac:dyDescent="0.4">
      <c r="A345" s="4">
        <v>300.39927500000005</v>
      </c>
      <c r="B345" s="4">
        <v>1.0648091</v>
      </c>
      <c r="C345" s="4">
        <v>1.0395596</v>
      </c>
      <c r="D345" s="4">
        <v>-30.489059000000001</v>
      </c>
      <c r="E345" s="4">
        <f>((-47.4991461/(10/9))+-10.5)+-0.4</f>
        <v>-53.649231489999991</v>
      </c>
      <c r="F345" s="4">
        <f>((-0.41081965*(1.3/1.5))*0.6)-0.3</f>
        <v>-0.51362621799999997</v>
      </c>
    </row>
    <row r="346" spans="1:6" x14ac:dyDescent="0.4">
      <c r="A346" s="4">
        <v>301.27420000000001</v>
      </c>
      <c r="B346" s="4">
        <v>1.064662</v>
      </c>
      <c r="C346" s="4">
        <v>1.0394190999999999</v>
      </c>
      <c r="D346" s="4">
        <v>-30.487939000000001</v>
      </c>
      <c r="E346" s="4">
        <f>((-47.5648713/(10/9))+-10.5)+-0.4</f>
        <v>-53.708384169999995</v>
      </c>
      <c r="F346" s="4">
        <f>((-0.4108727*(1.3/1.5))*0.6)-0.3</f>
        <v>-0.51365380399999994</v>
      </c>
    </row>
    <row r="347" spans="1:6" x14ac:dyDescent="0.4">
      <c r="A347" s="4">
        <v>302.14912500000003</v>
      </c>
      <c r="B347" s="4">
        <v>1.0646180000000001</v>
      </c>
      <c r="C347" s="4">
        <v>1.0394106000000001</v>
      </c>
      <c r="D347" s="4">
        <v>-30.486931999999999</v>
      </c>
      <c r="E347" s="4">
        <f>((-47.4530859/(10/9))+-10.5)+-0.4</f>
        <v>-53.607777309999996</v>
      </c>
      <c r="F347" s="4">
        <f>((-0.41087598*(1.3/1.5))*0.6)-0.3</f>
        <v>-0.51365550959999995</v>
      </c>
    </row>
    <row r="348" spans="1:6" x14ac:dyDescent="0.4">
      <c r="A348" s="4">
        <v>303.02404999999999</v>
      </c>
      <c r="B348" s="4">
        <v>1.0646538000000001</v>
      </c>
      <c r="C348" s="4">
        <v>1.0394806000000001</v>
      </c>
      <c r="D348" s="4">
        <v>-30.486107999999998</v>
      </c>
      <c r="E348" s="4">
        <f>((-47.5861194/(10/9))+-10.5)+-0.4</f>
        <v>-53.727507459999998</v>
      </c>
      <c r="F348" s="4">
        <f>((-0.41087815*(1.3/1.5))*0.6)-0.3</f>
        <v>-0.51365663800000005</v>
      </c>
    </row>
    <row r="349" spans="1:6" x14ac:dyDescent="0.4">
      <c r="A349" s="4">
        <v>303.89897499999995</v>
      </c>
      <c r="B349" s="4">
        <v>1.0647451000000001</v>
      </c>
      <c r="C349" s="4">
        <v>1.0394117</v>
      </c>
      <c r="D349" s="4">
        <v>-30.485294</v>
      </c>
      <c r="E349" s="4">
        <f>((-47.4273333/(10/9))+-10.5)+-0.4</f>
        <v>-53.584599969999999</v>
      </c>
      <c r="F349" s="4">
        <f>((-0.41089767*(1.3/1.5))*0.6)-0.3</f>
        <v>-0.51366678840000002</v>
      </c>
    </row>
    <row r="350" spans="1:6" x14ac:dyDescent="0.4">
      <c r="A350" s="4">
        <v>304.77390000000003</v>
      </c>
      <c r="B350" s="4">
        <v>1.0649375999999999</v>
      </c>
      <c r="C350" s="4">
        <v>1.0394152000000001</v>
      </c>
      <c r="D350" s="4">
        <v>-30.484352999999999</v>
      </c>
      <c r="E350" s="4">
        <f>((-47.3661423/(10/9))+-10.5)+-0.4</f>
        <v>-53.529528069999998</v>
      </c>
      <c r="F350" s="4">
        <f>((-0.4109394*(1.3/1.5))*0.6)-0.3</f>
        <v>-0.513688488</v>
      </c>
    </row>
    <row r="351" spans="1:6" x14ac:dyDescent="0.4">
      <c r="A351" s="4">
        <v>305.64882499999999</v>
      </c>
      <c r="B351" s="4">
        <v>1.0646878</v>
      </c>
      <c r="C351" s="4">
        <v>1.0394239000000001</v>
      </c>
      <c r="D351" s="4">
        <v>-30.483532999999998</v>
      </c>
      <c r="E351" s="4">
        <f>((-47.4898005/(10/9))+-10.5)+-0.4</f>
        <v>-53.64082045</v>
      </c>
      <c r="F351" s="4">
        <f>((-0.41110998*(1.3/1.5))*0.6)-0.3</f>
        <v>-0.51377718959999996</v>
      </c>
    </row>
    <row r="352" spans="1:6" x14ac:dyDescent="0.4">
      <c r="A352" s="4">
        <v>306.52375000000001</v>
      </c>
      <c r="B352" s="4">
        <v>1.0647283999999999</v>
      </c>
      <c r="C352" s="4">
        <v>1.0394319000000001</v>
      </c>
      <c r="D352" s="4">
        <v>-30.482837</v>
      </c>
      <c r="E352" s="4">
        <f>((-47.2177449/(10/9))+-10.5)+-0.4</f>
        <v>-53.395970409999997</v>
      </c>
      <c r="F352" s="4">
        <f>((-0.41116604*(1.3/1.5))*0.6)-0.3</f>
        <v>-0.51380634079999998</v>
      </c>
    </row>
    <row r="353" spans="1:6" x14ac:dyDescent="0.4">
      <c r="A353" s="4">
        <v>307.39867499999997</v>
      </c>
      <c r="B353" s="4">
        <v>1.0646846999999999</v>
      </c>
      <c r="C353" s="4">
        <v>1.0392608999999999</v>
      </c>
      <c r="D353" s="4">
        <v>-30.481804999999998</v>
      </c>
      <c r="E353" s="4">
        <f>((-47.3842737/(10/9))+-10.5)+-0.4</f>
        <v>-53.545846329999996</v>
      </c>
      <c r="F353" s="4">
        <f>((-0.4111996*(1.3/1.5))*0.6)-0.3</f>
        <v>-0.51382379199999995</v>
      </c>
    </row>
    <row r="354" spans="1:6" x14ac:dyDescent="0.4">
      <c r="A354" s="4">
        <v>308.27359999999999</v>
      </c>
      <c r="B354" s="4">
        <v>1.0645515999999999</v>
      </c>
      <c r="C354" s="4">
        <v>1.0392703000000001</v>
      </c>
      <c r="D354" s="4">
        <v>-30.480739</v>
      </c>
      <c r="E354" s="4">
        <f>((-47.353752/(10/9))+-10.5)+-0.4</f>
        <v>-53.518376799999999</v>
      </c>
      <c r="F354" s="4">
        <f>((-0.41125825*(1.3/1.5))*0.6)-0.3</f>
        <v>-0.51385429000000005</v>
      </c>
    </row>
    <row r="355" spans="1:6" x14ac:dyDescent="0.4">
      <c r="A355" s="4">
        <v>309.14852500000001</v>
      </c>
      <c r="B355" s="4">
        <v>1.0647351</v>
      </c>
      <c r="C355" s="4">
        <v>1.0392581000000001</v>
      </c>
      <c r="D355" s="4">
        <v>-30.479741000000001</v>
      </c>
      <c r="E355" s="4">
        <f>((-47.4471702/(10/9))+-10.5)+-0.4</f>
        <v>-53.602453179999998</v>
      </c>
      <c r="F355" s="4">
        <f>((-0.41125217*(1.3/1.5))*0.6)-0.3</f>
        <v>-0.51385112840000002</v>
      </c>
    </row>
    <row r="356" spans="1:6" x14ac:dyDescent="0.4">
      <c r="A356" s="4">
        <v>310.02345000000003</v>
      </c>
      <c r="B356" s="4">
        <v>1.0648481000000001</v>
      </c>
      <c r="C356" s="4">
        <v>1.0395186999999999</v>
      </c>
      <c r="D356" s="4">
        <v>-30.478739999999998</v>
      </c>
      <c r="E356" s="4">
        <f>((-47.3167143/(10/9))+-10.5)+-0.4</f>
        <v>-53.485042870000001</v>
      </c>
      <c r="F356" s="4">
        <f>((-0.41130799*(1.3/1.5))*0.6)-0.3</f>
        <v>-0.51388015480000004</v>
      </c>
    </row>
    <row r="357" spans="1:6" x14ac:dyDescent="0.4">
      <c r="A357" s="4">
        <v>310.89837499999999</v>
      </c>
      <c r="B357" s="4">
        <v>1.0647713000000001</v>
      </c>
      <c r="C357" s="4">
        <v>1.0393971</v>
      </c>
      <c r="D357" s="4">
        <v>-30.477746</v>
      </c>
      <c r="E357" s="4">
        <f>((-47.4126804/(10/9))+-10.5)+-0.4</f>
        <v>-53.571412359999997</v>
      </c>
      <c r="F357" s="4">
        <f>((-0.41141778*(1.3/1.5))*0.6)-0.3</f>
        <v>-0.51393724559999998</v>
      </c>
    </row>
    <row r="358" spans="1:6" x14ac:dyDescent="0.4">
      <c r="A358" s="4">
        <v>311.77330000000001</v>
      </c>
      <c r="B358" s="4">
        <v>1.0647424000000001</v>
      </c>
      <c r="C358" s="4">
        <v>1.039336</v>
      </c>
      <c r="D358" s="4">
        <v>-30.476618999999999</v>
      </c>
      <c r="E358" s="4">
        <f>((-47.4592896/(10/9))+-10.5)+-0.4</f>
        <v>-53.613360639999996</v>
      </c>
      <c r="F358" s="4">
        <f>((-0.41156071*(1.3/1.5))*0.6)-0.3</f>
        <v>-0.51401156920000002</v>
      </c>
    </row>
    <row r="359" spans="1:6" x14ac:dyDescent="0.4">
      <c r="A359" s="4">
        <v>312.64822499999997</v>
      </c>
      <c r="B359" s="4">
        <v>1.0648278</v>
      </c>
      <c r="C359" s="4">
        <v>1.0393543000000001</v>
      </c>
      <c r="D359" s="4">
        <v>-30.475918999999998</v>
      </c>
      <c r="E359" s="4">
        <f>((-47.4957918/(10/9))+-10.5)+-0.4</f>
        <v>-53.646212619999993</v>
      </c>
      <c r="F359" s="4">
        <f>((-0.41158977*(1.3/1.5))*0.6)-0.3</f>
        <v>-0.51402668039999999</v>
      </c>
    </row>
    <row r="360" spans="1:6" x14ac:dyDescent="0.4">
      <c r="A360" s="4">
        <v>313.52315000000004</v>
      </c>
      <c r="B360" s="4">
        <v>1.0647517</v>
      </c>
      <c r="C360" s="4">
        <v>1.0394098000000001</v>
      </c>
      <c r="D360" s="4">
        <v>-30.474993999999999</v>
      </c>
      <c r="E360" s="4">
        <f>((-47.3491278/(10/9))+-10.5)+-0.4</f>
        <v>-53.514215019999995</v>
      </c>
      <c r="F360" s="4">
        <f>((-0.41153753*(1.3/1.5))*0.6)-0.3</f>
        <v>-0.51399951560000001</v>
      </c>
    </row>
    <row r="361" spans="1:6" x14ac:dyDescent="0.4">
      <c r="A361" s="4">
        <v>314.39807500000001</v>
      </c>
      <c r="B361" s="4">
        <v>1.0646522</v>
      </c>
      <c r="C361" s="4">
        <v>1.039282</v>
      </c>
      <c r="D361" s="4">
        <v>-30.473903</v>
      </c>
      <c r="E361" s="4">
        <f>((-47.4068745/(10/9))+-10.5)+-0.4</f>
        <v>-53.566187049999996</v>
      </c>
      <c r="F361" s="4">
        <f>((-0.41155049*(1.3/1.5))*0.6)-0.3</f>
        <v>-0.51400625479999995</v>
      </c>
    </row>
    <row r="362" spans="1:6" x14ac:dyDescent="0.4">
      <c r="A362" s="4">
        <v>315.27300000000002</v>
      </c>
      <c r="B362" s="4">
        <v>1.0646521</v>
      </c>
      <c r="C362" s="4">
        <v>1.0393235999999999</v>
      </c>
      <c r="D362" s="4">
        <v>-30.472852</v>
      </c>
      <c r="E362" s="4">
        <f>((-47.3702283/(10/9))+-10.5)+-0.4</f>
        <v>-53.533205469999999</v>
      </c>
      <c r="F362" s="4">
        <f>((-0.4116123*(1.3/1.5))*0.6)-0.3</f>
        <v>-0.51403839600000001</v>
      </c>
    </row>
    <row r="363" spans="1:6" x14ac:dyDescent="0.4">
      <c r="A363" s="4">
        <v>316.14792499999999</v>
      </c>
      <c r="B363" s="4">
        <v>1.0647177999999999</v>
      </c>
      <c r="C363" s="4">
        <v>1.0392684999999999</v>
      </c>
      <c r="D363" s="4">
        <v>-30.471982000000001</v>
      </c>
      <c r="E363" s="4">
        <f>((-47.2592907/(10/9))+-10.5)+-0.4</f>
        <v>-53.43336163</v>
      </c>
      <c r="F363" s="4">
        <f>((-0.41159621*(1.3/1.5))*0.6)-0.3</f>
        <v>-0.51403002919999996</v>
      </c>
    </row>
    <row r="364" spans="1:6" x14ac:dyDescent="0.4">
      <c r="A364" s="4">
        <v>317.02284999999995</v>
      </c>
      <c r="B364" s="4">
        <v>1.064813</v>
      </c>
      <c r="C364" s="4">
        <v>1.0392442</v>
      </c>
      <c r="D364" s="4">
        <v>-30.470898999999999</v>
      </c>
      <c r="E364" s="4">
        <f>((-47.2934718/(10/9))+-10.5)+-0.4</f>
        <v>-53.464124619999993</v>
      </c>
      <c r="F364" s="4">
        <f>((-0.4115763*(1.3/1.5))*0.6)-0.3</f>
        <v>-0.51401967599999998</v>
      </c>
    </row>
    <row r="365" spans="1:6" x14ac:dyDescent="0.4">
      <c r="A365" s="4">
        <v>317.89777500000002</v>
      </c>
      <c r="B365" s="4">
        <v>1.0648781</v>
      </c>
      <c r="C365" s="4">
        <v>1.0391713</v>
      </c>
      <c r="D365" s="4">
        <v>-30.469829000000001</v>
      </c>
      <c r="E365" s="4">
        <f>((-47.2460796/(10/9))+-10.5)+-0.4</f>
        <v>-53.42147164</v>
      </c>
      <c r="F365" s="4">
        <f>((-0.41162729*(1.3/1.5))*0.6)-0.3</f>
        <v>-0.51404619080000002</v>
      </c>
    </row>
    <row r="366" spans="1:6" x14ac:dyDescent="0.4">
      <c r="A366" s="4">
        <v>318.77269999999999</v>
      </c>
      <c r="B366" s="4">
        <v>1.0647309</v>
      </c>
      <c r="C366" s="4">
        <v>1.0393357999999999</v>
      </c>
      <c r="D366" s="4">
        <v>-30.469062000000001</v>
      </c>
      <c r="E366" s="4">
        <f>((-47.4752817/(10/9))+-10.5)+-0.4</f>
        <v>-53.627753529999993</v>
      </c>
      <c r="F366" s="4">
        <f>((-0.41169864*(1.3/1.5))*0.6)-0.3</f>
        <v>-0.51408329279999998</v>
      </c>
    </row>
    <row r="367" spans="1:6" x14ac:dyDescent="0.4">
      <c r="A367" s="4">
        <v>319.64762500000001</v>
      </c>
      <c r="B367" s="4">
        <v>1.0647962</v>
      </c>
      <c r="C367" s="4">
        <v>1.0392733000000001</v>
      </c>
      <c r="D367" s="4">
        <v>-30.467966999999998</v>
      </c>
      <c r="E367" s="4">
        <f>((-47.1665898/(10/9))+-10.5)+-0.4</f>
        <v>-53.349930819999997</v>
      </c>
      <c r="F367" s="4">
        <f>((-0.4117952*(1.3/1.5))*0.6)-0.3</f>
        <v>-0.51413350399999991</v>
      </c>
    </row>
    <row r="368" spans="1:6" x14ac:dyDescent="0.4">
      <c r="A368" s="4">
        <v>320.52254999999997</v>
      </c>
      <c r="B368" s="4">
        <v>1.0649295000000001</v>
      </c>
      <c r="C368" s="4">
        <v>1.0393330000000001</v>
      </c>
      <c r="D368" s="4">
        <v>-30.466784999999998</v>
      </c>
      <c r="E368" s="4">
        <f>((-47.2401153/(10/9))+-10.5)+-0.4</f>
        <v>-53.416103769999999</v>
      </c>
      <c r="F368" s="4">
        <f>((-0.41184103*(1.3/1.5))*0.6)-0.3</f>
        <v>-0.51415733559999999</v>
      </c>
    </row>
    <row r="369" spans="1:6" x14ac:dyDescent="0.4">
      <c r="A369" s="4">
        <v>321.39747499999999</v>
      </c>
      <c r="B369" s="4">
        <v>1.0650191</v>
      </c>
      <c r="C369" s="4">
        <v>1.0393079999999999</v>
      </c>
      <c r="D369" s="4">
        <v>-30.465662999999999</v>
      </c>
      <c r="E369" s="4">
        <f>((-47.2292946/(10/9))+-10.5)+-0.4</f>
        <v>-53.406365139999998</v>
      </c>
      <c r="F369" s="4">
        <f>((-0.41193193*(1.3/1.5))*0.6)-0.3</f>
        <v>-0.51420460359999998</v>
      </c>
    </row>
    <row r="370" spans="1:6" x14ac:dyDescent="0.4">
      <c r="A370" s="4">
        <v>322.2724</v>
      </c>
      <c r="B370" s="4">
        <v>1.0650580000000001</v>
      </c>
      <c r="C370" s="4">
        <v>1.0393469</v>
      </c>
      <c r="D370" s="4">
        <v>-30.464897999999998</v>
      </c>
      <c r="E370" s="4">
        <f>((-47.2649967/(10/9))+-10.5)+-0.4</f>
        <v>-53.438497029999994</v>
      </c>
      <c r="F370" s="4">
        <f>((-0.41197154*(1.3/1.5))*0.6)-0.3</f>
        <v>-0.5142252008</v>
      </c>
    </row>
    <row r="371" spans="1:6" x14ac:dyDescent="0.4">
      <c r="A371" s="4">
        <v>323.14732500000002</v>
      </c>
      <c r="B371" s="4">
        <v>1.0648185999999999</v>
      </c>
      <c r="C371" s="4">
        <v>1.0393659</v>
      </c>
      <c r="D371" s="4">
        <v>-30.463726999999999</v>
      </c>
      <c r="E371" s="4">
        <f>((-47.2342383/(10/9))+-10.5)+-0.4</f>
        <v>-53.410814469999998</v>
      </c>
      <c r="F371" s="4">
        <f>((-0.41198558*(1.3/1.5))*0.6)-0.3</f>
        <v>-0.5142325016</v>
      </c>
    </row>
    <row r="372" spans="1:6" x14ac:dyDescent="0.4">
      <c r="A372" s="4">
        <v>324.02224999999999</v>
      </c>
      <c r="B372" s="4">
        <v>1.0649044999999999</v>
      </c>
      <c r="C372" s="4">
        <v>1.0392507</v>
      </c>
      <c r="D372" s="4">
        <v>-30.46302</v>
      </c>
      <c r="E372" s="4">
        <f>((-47.2432329/(10/9))+-10.5)+-0.4</f>
        <v>-53.41890961</v>
      </c>
      <c r="F372" s="4">
        <f>((-0.41204718*(1.3/1.5))*0.6)-0.3</f>
        <v>-0.51426453360000002</v>
      </c>
    </row>
    <row r="373" spans="1:6" x14ac:dyDescent="0.4">
      <c r="A373" s="4">
        <v>324.897175</v>
      </c>
      <c r="B373" s="4">
        <v>1.0651573000000001</v>
      </c>
      <c r="C373" s="4">
        <v>1.0391783999999999</v>
      </c>
      <c r="D373" s="4">
        <v>-30.462001000000001</v>
      </c>
      <c r="E373" s="4">
        <f>((-47.2668777/(10/9))+-10.5)+-0.4</f>
        <v>-53.440189929999995</v>
      </c>
      <c r="F373" s="4">
        <f>((-0.41213423*(1.3/1.5))*0.6)-0.3</f>
        <v>-0.51430979960000001</v>
      </c>
    </row>
    <row r="374" spans="1:6" x14ac:dyDescent="0.4">
      <c r="A374" s="4">
        <v>325.77209999999997</v>
      </c>
      <c r="B374" s="4">
        <v>1.0649360000000001</v>
      </c>
      <c r="C374" s="4">
        <v>1.0392942000000001</v>
      </c>
      <c r="D374" s="4">
        <v>-30.461206000000001</v>
      </c>
      <c r="E374" s="4">
        <f>((-47.2973337/(10/9))+-10.5)+-0.4</f>
        <v>-53.467600329999996</v>
      </c>
      <c r="F374" s="4">
        <f>((-0.41218352*(1.3/1.5))*0.6)-0.3</f>
        <v>-0.51433543039999996</v>
      </c>
    </row>
    <row r="375" spans="1:6" x14ac:dyDescent="0.4">
      <c r="A375" s="4">
        <v>326.64702500000004</v>
      </c>
      <c r="B375" s="4">
        <v>1.0650991000000001</v>
      </c>
      <c r="C375" s="4">
        <v>1.0392473</v>
      </c>
      <c r="D375" s="4">
        <v>-30.460411999999998</v>
      </c>
      <c r="E375" s="4">
        <f>((-47.1956112/(10/9))+-10.5)+-0.4</f>
        <v>-53.376050079999999</v>
      </c>
      <c r="F375" s="4">
        <f>((-0.41229844*(1.3/1.5))*0.6)-0.3</f>
        <v>-0.51439518880000001</v>
      </c>
    </row>
    <row r="376" spans="1:6" x14ac:dyDescent="0.4">
      <c r="A376" s="4">
        <v>327.52195</v>
      </c>
      <c r="B376" s="4">
        <v>1.065196</v>
      </c>
      <c r="C376" s="4">
        <v>1.0393219</v>
      </c>
      <c r="D376" s="4">
        <v>-30.459202999999999</v>
      </c>
      <c r="E376" s="4">
        <f>((-47.2585869/(10/9))+-10.5)+-0.4</f>
        <v>-53.432728209999993</v>
      </c>
      <c r="F376" s="4">
        <f>((-0.41237172*(1.3/1.5))*0.6)-0.3</f>
        <v>-0.51443329439999996</v>
      </c>
    </row>
    <row r="377" spans="1:6" x14ac:dyDescent="0.4">
      <c r="A377" s="4">
        <v>328.39687500000002</v>
      </c>
      <c r="B377" s="4">
        <v>1.0651284000000001</v>
      </c>
      <c r="C377" s="4">
        <v>1.0394477</v>
      </c>
      <c r="D377" s="4">
        <v>-30.458178999999998</v>
      </c>
      <c r="E377" s="4">
        <f>((-47.2643064/(10/9))+-10.5)+-0.4</f>
        <v>-53.437875759999997</v>
      </c>
      <c r="F377" s="4">
        <f>((-0.41239852*(1.3/1.5))*0.6)-0.3</f>
        <v>-0.51444723039999996</v>
      </c>
    </row>
    <row r="378" spans="1:6" x14ac:dyDescent="0.4">
      <c r="A378" s="4">
        <v>329.27179999999998</v>
      </c>
      <c r="B378" s="4">
        <v>1.0651090000000001</v>
      </c>
      <c r="C378" s="4">
        <v>1.0392490999999999</v>
      </c>
      <c r="D378" s="4">
        <v>-30.45701</v>
      </c>
      <c r="E378" s="4">
        <f>((-47.1548718/(10/9))+-10.5)+-0.4</f>
        <v>-53.339384619999997</v>
      </c>
      <c r="F378" s="4">
        <f>((-0.41251051*(1.3/1.5))*0.6)-0.3</f>
        <v>-0.51450546519999996</v>
      </c>
    </row>
    <row r="379" spans="1:6" x14ac:dyDescent="0.4">
      <c r="A379" s="4">
        <v>330.146725</v>
      </c>
      <c r="B379" s="4">
        <v>1.0650348999999999</v>
      </c>
      <c r="C379" s="4">
        <v>1.0391889999999999</v>
      </c>
      <c r="D379" s="4">
        <v>-30.456067000000001</v>
      </c>
      <c r="E379" s="4">
        <f>((-47.2178646/(10/9))+-10.5)+-0.4</f>
        <v>-53.396078139999993</v>
      </c>
      <c r="F379" s="4">
        <f>((-0.41260117*(1.3/1.5))*0.6)-0.3</f>
        <v>-0.51455260840000006</v>
      </c>
    </row>
    <row r="380" spans="1:6" x14ac:dyDescent="0.4">
      <c r="A380" s="4">
        <v>331.02165000000002</v>
      </c>
      <c r="B380" s="4">
        <v>1.0649728000000001</v>
      </c>
      <c r="C380" s="4">
        <v>1.0393753999999999</v>
      </c>
      <c r="D380" s="4">
        <v>-30.455061999999998</v>
      </c>
      <c r="E380" s="4">
        <f>((-47.1259233/(10/9))+-10.5)+-0.4</f>
        <v>-53.313330969999996</v>
      </c>
      <c r="F380" s="4">
        <f>((-0.41265559*(1.3/1.5))*0.6)-0.3</f>
        <v>-0.51458090680000002</v>
      </c>
    </row>
    <row r="381" spans="1:6" x14ac:dyDescent="0.4">
      <c r="A381" s="4">
        <v>331.89657499999998</v>
      </c>
      <c r="B381" s="4">
        <v>1.0651343</v>
      </c>
      <c r="C381" s="4">
        <v>1.0393504</v>
      </c>
      <c r="D381" s="4">
        <v>-30.454046999999999</v>
      </c>
      <c r="E381" s="4">
        <f>((-47.2213773/(10/9))+-10.5)+-0.4</f>
        <v>-53.399239569999999</v>
      </c>
      <c r="F381" s="4">
        <f>((-0.41271743*(1.3/1.5))*0.6)-0.3</f>
        <v>-0.51461306359999992</v>
      </c>
    </row>
    <row r="382" spans="1:6" x14ac:dyDescent="0.4">
      <c r="A382" s="4">
        <v>332.7715</v>
      </c>
      <c r="B382" s="4">
        <v>1.0652111</v>
      </c>
      <c r="C382" s="4">
        <v>1.0394927</v>
      </c>
      <c r="D382" s="4">
        <v>-30.453018999999998</v>
      </c>
      <c r="E382" s="4">
        <f>((-47.0578833/(10/9))+-10.5)+-0.4</f>
        <v>-53.252094969999995</v>
      </c>
      <c r="F382" s="4">
        <f>((-0.41278374*(1.3/1.5))*0.6)-0.3</f>
        <v>-0.51464754479999997</v>
      </c>
    </row>
    <row r="383" spans="1:6" x14ac:dyDescent="0.4">
      <c r="A383" s="4">
        <v>333.64642499999997</v>
      </c>
      <c r="B383" s="4">
        <v>1.064867</v>
      </c>
      <c r="C383" s="4">
        <v>1.0391237</v>
      </c>
      <c r="D383" s="4">
        <v>-30.452020000000001</v>
      </c>
      <c r="E383" s="4">
        <f>((-47.2162887/(10/9))+-10.5)+-0.4</f>
        <v>-53.394659829999995</v>
      </c>
      <c r="F383" s="4">
        <f>((-0.41285759*(1.3/1.5))*0.6)-0.3</f>
        <v>-0.51468594680000002</v>
      </c>
    </row>
    <row r="384" spans="1:6" x14ac:dyDescent="0.4">
      <c r="A384" s="4">
        <v>334.52134999999998</v>
      </c>
      <c r="B384" s="4">
        <v>1.0648853</v>
      </c>
      <c r="C384" s="4">
        <v>1.0391717</v>
      </c>
      <c r="D384" s="4">
        <v>-30.451212999999999</v>
      </c>
      <c r="E384" s="4">
        <f>((-46.9892259/(10/9))+-10.5)+-0.4</f>
        <v>-53.190303309999997</v>
      </c>
      <c r="F384" s="4">
        <f>((-0.4129512*(1.3/1.5))*0.6)-0.3</f>
        <v>-0.51473462400000003</v>
      </c>
    </row>
    <row r="385" spans="1:6" x14ac:dyDescent="0.4">
      <c r="A385" s="4">
        <v>335.396275</v>
      </c>
      <c r="B385" s="4">
        <v>1.0650575</v>
      </c>
      <c r="C385" s="4">
        <v>1.0393642999999999</v>
      </c>
      <c r="D385" s="4">
        <v>-30.450195999999998</v>
      </c>
      <c r="E385" s="4">
        <f>((-47.0703429/(10/9))+-10.5)+-0.4</f>
        <v>-53.263308609999996</v>
      </c>
      <c r="F385" s="4">
        <f>((-0.41297418*(1.3/1.5))*0.6)-0.3</f>
        <v>-0.51474657359999998</v>
      </c>
    </row>
    <row r="386" spans="1:6" x14ac:dyDescent="0.4">
      <c r="A386" s="4">
        <v>336.27120000000002</v>
      </c>
      <c r="B386" s="4">
        <v>1.0651104</v>
      </c>
      <c r="C386" s="4">
        <v>1.0393444999999999</v>
      </c>
      <c r="D386" s="4">
        <v>-30.449269000000001</v>
      </c>
      <c r="E386" s="4">
        <f>((-47.0546559/(10/9))+-10.5)+-0.4</f>
        <v>-53.249190309999996</v>
      </c>
      <c r="F386" s="4">
        <f>((-0.4130854*(1.3/1.5))*0.6)-0.3</f>
        <v>-0.51480440800000005</v>
      </c>
    </row>
    <row r="387" spans="1:6" x14ac:dyDescent="0.4">
      <c r="A387" s="4">
        <v>337.14612499999998</v>
      </c>
      <c r="B387" s="4">
        <v>1.065045</v>
      </c>
      <c r="C387" s="4">
        <v>1.0394154</v>
      </c>
      <c r="D387" s="4">
        <v>-30.448508</v>
      </c>
      <c r="E387" s="4">
        <f>((-47.1285396/(10/9))+-10.5)+-0.4</f>
        <v>-53.315685639999998</v>
      </c>
      <c r="F387" s="4">
        <f>((-0.41317952*(1.3/1.5))*0.6)-0.3</f>
        <v>-0.51485335040000002</v>
      </c>
    </row>
    <row r="388" spans="1:6" x14ac:dyDescent="0.4">
      <c r="A388" s="4">
        <v>338.02105</v>
      </c>
      <c r="B388" s="4">
        <v>1.0649702999999999</v>
      </c>
      <c r="C388" s="4">
        <v>1.0392148000000001</v>
      </c>
      <c r="D388" s="4">
        <v>-30.447547</v>
      </c>
      <c r="E388" s="4">
        <f>((-47.2009563/(10/9))+-10.5)+-0.4</f>
        <v>-53.380860669999997</v>
      </c>
      <c r="F388" s="4">
        <f>((-0.41327351*(1.3/1.5))*0.6)-0.3</f>
        <v>-0.51490222519999995</v>
      </c>
    </row>
    <row r="389" spans="1:6" x14ac:dyDescent="0.4">
      <c r="A389" s="4">
        <v>338.89597499999996</v>
      </c>
      <c r="B389" s="4">
        <v>1.0649382999999999</v>
      </c>
      <c r="C389" s="4">
        <v>1.0392516999999999</v>
      </c>
      <c r="D389" s="4">
        <v>-30.446663999999998</v>
      </c>
      <c r="E389" s="4">
        <f>((-47.1428217/(10/9))+-10.5)+-0.4</f>
        <v>-53.328539529999993</v>
      </c>
      <c r="F389" s="4">
        <f>((-0.41327471*(1.3/1.5))*0.6)-0.3</f>
        <v>-0.51490284919999996</v>
      </c>
    </row>
    <row r="390" spans="1:6" x14ac:dyDescent="0.4">
      <c r="A390" s="4">
        <v>339.77090000000004</v>
      </c>
      <c r="B390" s="4">
        <v>1.0649647</v>
      </c>
      <c r="C390" s="4">
        <v>1.0391484</v>
      </c>
      <c r="D390" s="4">
        <v>-30.44585</v>
      </c>
      <c r="E390" s="4">
        <f>((-47.0552292/(10/9))+-10.5)+-0.4</f>
        <v>-53.249706279999998</v>
      </c>
      <c r="F390" s="4">
        <f>((-0.41330844*(1.3/1.5))*0.6)-0.3</f>
        <v>-0.51492038880000002</v>
      </c>
    </row>
    <row r="391" spans="1:6" x14ac:dyDescent="0.4">
      <c r="A391" s="4">
        <v>340.645825</v>
      </c>
      <c r="B391" s="4">
        <v>1.0649853</v>
      </c>
      <c r="C391" s="4">
        <v>1.0392437000000001</v>
      </c>
      <c r="D391" s="4">
        <v>-30.444935999999998</v>
      </c>
      <c r="E391" s="4">
        <f>((-47.0219652/(10/9))+-10.5)+-0.4</f>
        <v>-53.219768679999994</v>
      </c>
      <c r="F391" s="4">
        <f>((-0.41337612*(1.3/1.5))*0.6)-0.3</f>
        <v>-0.51495558239999994</v>
      </c>
    </row>
    <row r="392" spans="1:6" x14ac:dyDescent="0.4">
      <c r="A392" s="4">
        <v>341.52075000000002</v>
      </c>
      <c r="B392" s="4">
        <v>1.064972</v>
      </c>
      <c r="C392" s="4">
        <v>1.0391725999999999</v>
      </c>
      <c r="D392" s="4">
        <v>-30.443716999999999</v>
      </c>
      <c r="E392" s="4">
        <f>((-46.9346481/(10/9))+-10.5)+-0.4</f>
        <v>-53.141183289999994</v>
      </c>
      <c r="F392" s="4">
        <f>((-0.41343185*(1.3/1.5))*0.6)-0.3</f>
        <v>-0.51498456199999998</v>
      </c>
    </row>
    <row r="393" spans="1:6" x14ac:dyDescent="0.4">
      <c r="A393" s="4">
        <v>342.39567499999998</v>
      </c>
      <c r="B393" s="4">
        <v>1.0649948</v>
      </c>
      <c r="C393" s="4">
        <v>1.0392667</v>
      </c>
      <c r="D393" s="4">
        <v>-30.442729</v>
      </c>
      <c r="E393" s="4">
        <f>((-47.0066085/(10/9))+-10.5)+-0.4</f>
        <v>-53.205947649999999</v>
      </c>
      <c r="F393" s="4">
        <f>((-0.41349217*(1.3/1.5))*0.6)-0.3</f>
        <v>-0.51501592839999999</v>
      </c>
    </row>
    <row r="394" spans="1:6" x14ac:dyDescent="0.4">
      <c r="A394" s="4">
        <v>343.2706</v>
      </c>
      <c r="B394" s="4">
        <v>1.0650687000000001</v>
      </c>
      <c r="C394" s="4">
        <v>1.0392433000000001</v>
      </c>
      <c r="D394" s="4">
        <v>-30.442083</v>
      </c>
      <c r="E394" s="4">
        <f>((-46.9038141/(10/9))+-10.5)+-0.4</f>
        <v>-53.113432689999996</v>
      </c>
      <c r="F394" s="4">
        <f>((-0.4135153*(1.3/1.5))*0.6)-0.3</f>
        <v>-0.51502795599999995</v>
      </c>
    </row>
    <row r="395" spans="1:6" x14ac:dyDescent="0.4">
      <c r="A395" s="4">
        <v>344.14552500000002</v>
      </c>
      <c r="B395" s="4">
        <v>1.0652406000000001</v>
      </c>
      <c r="C395" s="4">
        <v>1.0392109</v>
      </c>
      <c r="D395" s="4">
        <v>-30.441226</v>
      </c>
      <c r="E395" s="4">
        <f>((-47.0879208/(10/9))+-10.5)+-0.4</f>
        <v>-53.279128719999996</v>
      </c>
      <c r="F395" s="4">
        <f>((-0.41363394*(1.3/1.5))*0.6)-0.3</f>
        <v>-0.51508964879999997</v>
      </c>
    </row>
    <row r="396" spans="1:6" x14ac:dyDescent="0.4">
      <c r="A396" s="4">
        <v>345.02045000000004</v>
      </c>
      <c r="B396" s="4">
        <v>1.0649683000000001</v>
      </c>
      <c r="C396" s="4">
        <v>1.0393333</v>
      </c>
      <c r="D396" s="4">
        <v>-30.440390999999998</v>
      </c>
      <c r="E396" s="4">
        <f>((-46.93473/(10/9))+-10.5)+-0.4</f>
        <v>-53.141256999999996</v>
      </c>
      <c r="F396" s="4">
        <f>((-0.41372791*(1.3/1.5))*0.6)-0.3</f>
        <v>-0.51513851319999993</v>
      </c>
    </row>
    <row r="397" spans="1:6" x14ac:dyDescent="0.4">
      <c r="A397" s="4">
        <v>345.895375</v>
      </c>
      <c r="B397" s="4">
        <v>1.0649595000000001</v>
      </c>
      <c r="C397" s="4">
        <v>1.0391455999999999</v>
      </c>
      <c r="D397" s="4">
        <v>-30.439502000000001</v>
      </c>
      <c r="E397" s="4">
        <f>((-46.9761039/(10/9))+-10.5)+-0.4</f>
        <v>-53.178493509999996</v>
      </c>
      <c r="F397" s="4">
        <f>((-0.4137421*(1.3/1.5))*0.6)-0.3</f>
        <v>-0.51514589200000005</v>
      </c>
    </row>
    <row r="398" spans="1:6" x14ac:dyDescent="0.4">
      <c r="A398" s="4">
        <v>346.77029999999996</v>
      </c>
      <c r="B398" s="4">
        <v>1.0649655</v>
      </c>
      <c r="C398" s="4">
        <v>1.0393289000000001</v>
      </c>
      <c r="D398" s="4">
        <v>-30.438447</v>
      </c>
      <c r="E398" s="4">
        <f>((-46.9483947/(10/9))+-10.5)+-0.4</f>
        <v>-53.153555229999995</v>
      </c>
      <c r="F398" s="4">
        <f>((-0.41381776*(1.3/1.5))*0.6)-0.3</f>
        <v>-0.51518523519999992</v>
      </c>
    </row>
    <row r="399" spans="1:6" x14ac:dyDescent="0.4">
      <c r="A399" s="4">
        <v>347.64522499999998</v>
      </c>
      <c r="B399" s="4">
        <v>1.0649554999999999</v>
      </c>
      <c r="C399" s="4">
        <v>1.0392591</v>
      </c>
      <c r="D399" s="4">
        <v>-30.437218999999999</v>
      </c>
      <c r="E399" s="4">
        <f>((-47.039265/(10/9))+-10.5)+-0.4</f>
        <v>-53.235338499999997</v>
      </c>
      <c r="F399" s="4">
        <f>((-0.41394168*(1.3/1.5))*0.6)-0.3</f>
        <v>-0.51524967359999996</v>
      </c>
    </row>
    <row r="400" spans="1:6" x14ac:dyDescent="0.4">
      <c r="A400" s="4">
        <v>348.52015</v>
      </c>
      <c r="B400" s="4">
        <v>1.0648873999999999</v>
      </c>
      <c r="C400" s="4">
        <v>1.0392467999999999</v>
      </c>
      <c r="D400" s="4">
        <v>-30.436295999999999</v>
      </c>
      <c r="E400" s="4">
        <f>((-46.9843605/(10/9))+-10.5)+-0.4</f>
        <v>-53.185924449999995</v>
      </c>
      <c r="F400" s="4">
        <f>((-0.41414374*(1.3/1.5))*0.6)-0.3</f>
        <v>-0.51535474479999999</v>
      </c>
    </row>
    <row r="401" spans="1:6" x14ac:dyDescent="0.4">
      <c r="A401" s="4">
        <v>349.39507500000002</v>
      </c>
      <c r="B401" s="4">
        <v>1.0646831000000001</v>
      </c>
      <c r="C401" s="4">
        <v>1.0391874000000001</v>
      </c>
      <c r="D401" s="4">
        <v>-30.435461999999998</v>
      </c>
      <c r="E401" s="4">
        <f>((-46.854468/(10/9))+-10.5)+-0.4</f>
        <v>-53.069021199999995</v>
      </c>
      <c r="F401" s="4">
        <f>((-0.41432494*(1.3/1.5))*0.6)-0.3</f>
        <v>-0.51544896880000002</v>
      </c>
    </row>
    <row r="402" spans="1:6" x14ac:dyDescent="0.4">
      <c r="A402" s="4">
        <v>350.27</v>
      </c>
      <c r="B402" s="4">
        <v>1.0646741</v>
      </c>
      <c r="C402" s="4">
        <v>1.0391774</v>
      </c>
      <c r="D402" s="4">
        <v>-30.434303</v>
      </c>
      <c r="E402" s="4">
        <f>((-46.9322964/(10/9))+-10.5)+-0.4</f>
        <v>-53.139066759999999</v>
      </c>
      <c r="F402" s="4">
        <f>((-0.41442132*(1.3/1.5))*0.6)-0.3</f>
        <v>-0.51549908639999997</v>
      </c>
    </row>
    <row r="403" spans="1:6" x14ac:dyDescent="0.4">
      <c r="A403" s="4">
        <v>351.144925</v>
      </c>
      <c r="B403" s="4">
        <v>1.0647091</v>
      </c>
      <c r="C403" s="4">
        <v>1.0391731</v>
      </c>
      <c r="D403" s="4">
        <v>-30.433450000000001</v>
      </c>
      <c r="E403" s="4">
        <f>((-46.9243485/(10/9))+-10.5)+-0.4</f>
        <v>-53.131913649999994</v>
      </c>
      <c r="F403" s="4">
        <f>((-0.41458347*(1.3/1.5))*0.6)-0.3</f>
        <v>-0.51558340440000006</v>
      </c>
    </row>
    <row r="404" spans="1:6" x14ac:dyDescent="0.4">
      <c r="A404" s="4">
        <v>352.01984999999996</v>
      </c>
      <c r="B404" s="4">
        <v>1.0645639</v>
      </c>
      <c r="C404" s="4">
        <v>1.0392766</v>
      </c>
      <c r="D404" s="4">
        <v>-30.432404999999999</v>
      </c>
      <c r="E404" s="4">
        <f>((-46.9204929/(10/9))+-10.5)+-0.4</f>
        <v>-53.128443609999998</v>
      </c>
      <c r="F404" s="4">
        <f>((-0.41471928*(1.3/1.5))*0.6)-0.3</f>
        <v>-0.51565402559999995</v>
      </c>
    </row>
    <row r="405" spans="1:6" x14ac:dyDescent="0.4">
      <c r="A405" s="4">
        <v>352.89477500000004</v>
      </c>
      <c r="B405" s="4">
        <v>1.0643935</v>
      </c>
      <c r="C405" s="4">
        <v>1.0390817000000001</v>
      </c>
      <c r="D405" s="4">
        <v>-30.431418999999998</v>
      </c>
      <c r="E405" s="4">
        <f>((-46.9661508/(10/9))+-10.5)+-0.4</f>
        <v>-53.169535719999999</v>
      </c>
      <c r="F405" s="4">
        <f>((-0.41481403*(1.3/1.5))*0.6)-0.3</f>
        <v>-0.51570329560000006</v>
      </c>
    </row>
    <row r="406" spans="1:6" x14ac:dyDescent="0.4">
      <c r="A406" s="4">
        <v>353.7697</v>
      </c>
      <c r="B406" s="4">
        <v>1.0644616</v>
      </c>
      <c r="C406" s="4">
        <v>1.0392676999999999</v>
      </c>
      <c r="D406" s="4">
        <v>-30.430351999999999</v>
      </c>
      <c r="E406" s="4">
        <f>((-46.9366146/(10/9))+-10.5)+-0.4</f>
        <v>-53.142953139999996</v>
      </c>
      <c r="F406" s="4">
        <f>((-0.41490015*(1.3/1.5))*0.6)-0.3</f>
        <v>-0.515748078</v>
      </c>
    </row>
    <row r="407" spans="1:6" x14ac:dyDescent="0.4">
      <c r="A407" s="4">
        <v>354.64462500000002</v>
      </c>
      <c r="B407" s="4">
        <v>1.0646154999999999</v>
      </c>
      <c r="C407" s="4">
        <v>1.0392778</v>
      </c>
      <c r="D407" s="4">
        <v>-30.429309</v>
      </c>
      <c r="E407" s="4">
        <f>((-46.8330822/(10/9))+-10.5)+-0.4</f>
        <v>-53.049773979999998</v>
      </c>
      <c r="F407" s="4">
        <f>((-0.41494799*(1.3/1.5))*0.6)-0.3</f>
        <v>-0.51577295479999996</v>
      </c>
    </row>
    <row r="408" spans="1:6" x14ac:dyDescent="0.4">
      <c r="A408" s="4">
        <v>355.51954999999998</v>
      </c>
      <c r="B408" s="4">
        <v>1.0647103</v>
      </c>
      <c r="C408" s="4">
        <v>1.0391945</v>
      </c>
      <c r="D408" s="4">
        <v>-30.428573</v>
      </c>
      <c r="E408" s="4">
        <f>((-46.8918009/(10/9))+-10.5)+-0.4</f>
        <v>-53.102620809999998</v>
      </c>
      <c r="F408" s="4">
        <f>((-0.41505194*(1.3/1.5))*0.6)-0.3</f>
        <v>-0.51582700879999999</v>
      </c>
    </row>
    <row r="409" spans="1:6" x14ac:dyDescent="0.4">
      <c r="A409" s="4">
        <v>356.394475</v>
      </c>
      <c r="B409" s="4">
        <v>1.0643022</v>
      </c>
      <c r="C409" s="4">
        <v>1.0392003999999999</v>
      </c>
      <c r="D409" s="4">
        <v>-30.427516000000001</v>
      </c>
      <c r="E409" s="4">
        <f>((-46.8572868/(10/9))+-10.5)+-0.4</f>
        <v>-53.071558119999992</v>
      </c>
      <c r="F409" s="4">
        <f>((-0.41516969*(1.3/1.5))*0.6)-0.3</f>
        <v>-0.51588823880000001</v>
      </c>
    </row>
    <row r="410" spans="1:6" x14ac:dyDescent="0.4">
      <c r="A410" s="4">
        <v>357.26940000000002</v>
      </c>
      <c r="B410" s="4">
        <v>1.0643491</v>
      </c>
      <c r="C410" s="4">
        <v>1.0390969999999999</v>
      </c>
      <c r="D410" s="4">
        <v>-30.426762999999998</v>
      </c>
      <c r="E410" s="4">
        <f>((-47.0186658/(10/9))+-10.5)+-0.4</f>
        <v>-53.216799219999999</v>
      </c>
      <c r="F410" s="4">
        <f>((-0.4153187*(1.3/1.5))*0.6)-0.3</f>
        <v>-0.51596572399999996</v>
      </c>
    </row>
    <row r="411" spans="1:6" x14ac:dyDescent="0.4">
      <c r="A411" s="4">
        <v>358.14432500000004</v>
      </c>
      <c r="B411" s="4">
        <v>1.0644610999999999</v>
      </c>
      <c r="C411" s="4">
        <v>1.0391438</v>
      </c>
      <c r="D411" s="4">
        <v>-30.425898999999998</v>
      </c>
      <c r="E411" s="4">
        <f>((-46.8784629/(10/9))+-10.5)+-0.4</f>
        <v>-53.090616609999998</v>
      </c>
      <c r="F411" s="4">
        <f>((-0.41544548*(1.3/1.5))*0.6)-0.3</f>
        <v>-0.51603164959999992</v>
      </c>
    </row>
    <row r="412" spans="1:6" x14ac:dyDescent="0.4">
      <c r="A412" s="4">
        <v>359.01925</v>
      </c>
      <c r="B412" s="4">
        <v>1.0644233999999999</v>
      </c>
      <c r="C412" s="4">
        <v>1.0391794000000001</v>
      </c>
      <c r="D412" s="4">
        <v>-30.424937</v>
      </c>
      <c r="E412" s="4">
        <f>((-46.7992485/(10/9))+-10.5)+-0.4</f>
        <v>-53.019323649999997</v>
      </c>
      <c r="F412" s="4">
        <f>((-0.41549712*(1.3/1.5))*0.6)-0.3</f>
        <v>-0.51605850239999995</v>
      </c>
    </row>
    <row r="413" spans="1:6" x14ac:dyDescent="0.4">
      <c r="A413" s="4">
        <v>359.89417499999996</v>
      </c>
      <c r="B413" s="4">
        <v>1.0645481000000001</v>
      </c>
      <c r="C413" s="4">
        <v>1.0393057000000001</v>
      </c>
      <c r="D413" s="4">
        <v>-30.424043000000001</v>
      </c>
      <c r="E413" s="4">
        <f>((-46.8962541/(10/9))+-10.5)+-0.4</f>
        <v>-53.106628689999994</v>
      </c>
      <c r="F413" s="4">
        <f>((-0.41559044*(1.3/1.5))*0.6)-0.3</f>
        <v>-0.51610702880000003</v>
      </c>
    </row>
    <row r="414" spans="1:6" x14ac:dyDescent="0.4">
      <c r="A414" s="4">
        <v>360.76909999999998</v>
      </c>
      <c r="B414" s="4">
        <v>1.0645899999999999</v>
      </c>
      <c r="C414" s="4">
        <v>1.0392486000000001</v>
      </c>
      <c r="D414" s="4">
        <v>-30.423206</v>
      </c>
      <c r="E414" s="4">
        <f>((-46.9114353/(10/9))+-10.5)+-0.4</f>
        <v>-53.120291769999994</v>
      </c>
      <c r="F414" s="4">
        <f>((-0.41573748*(1.3/1.5))*0.6)-0.3</f>
        <v>-0.51618348959999993</v>
      </c>
    </row>
    <row r="415" spans="1:6" x14ac:dyDescent="0.4">
      <c r="A415" s="4">
        <v>361.644025</v>
      </c>
      <c r="B415" s="4">
        <v>1.0644103</v>
      </c>
      <c r="C415" s="4">
        <v>1.0391961000000001</v>
      </c>
      <c r="D415" s="4">
        <v>-30.422121999999998</v>
      </c>
      <c r="E415" s="4">
        <f>((-46.7113194/(10/9))+-10.5)+-0.4</f>
        <v>-52.940187459999997</v>
      </c>
      <c r="F415" s="4">
        <f>((-0.41578838*(1.3/1.5))*0.6)-0.3</f>
        <v>-0.51620995759999999</v>
      </c>
    </row>
    <row r="416" spans="1:6" x14ac:dyDescent="0.4">
      <c r="A416" s="4">
        <v>362.51895000000002</v>
      </c>
      <c r="B416" s="4">
        <v>1.0641992</v>
      </c>
      <c r="C416" s="4">
        <v>1.0391777</v>
      </c>
      <c r="D416" s="4">
        <v>-30.421326999999998</v>
      </c>
      <c r="E416" s="4">
        <f>((-46.7026956/(10/9))+-10.5)+-0.4</f>
        <v>-52.932426039999996</v>
      </c>
      <c r="F416" s="4">
        <f>((-0.41585144*(1.3/1.5))*0.6)-0.3</f>
        <v>-0.51624274879999998</v>
      </c>
    </row>
    <row r="417" spans="1:6" x14ac:dyDescent="0.4">
      <c r="A417" s="4">
        <v>363.39387499999998</v>
      </c>
      <c r="B417" s="4">
        <v>1.0642594000000001</v>
      </c>
      <c r="C417" s="4">
        <v>1.0390731</v>
      </c>
      <c r="D417" s="4">
        <v>-30.420741</v>
      </c>
      <c r="E417" s="4">
        <f>((-46.8956529/(10/9))+-10.5)+-0.4</f>
        <v>-53.106087609999996</v>
      </c>
      <c r="F417" s="4">
        <f>((-0.41593617*(1.3/1.5))*0.6)-0.3</f>
        <v>-0.51628680839999996</v>
      </c>
    </row>
    <row r="418" spans="1:6" x14ac:dyDescent="0.4">
      <c r="A418" s="4">
        <v>364.2688</v>
      </c>
      <c r="B418" s="4">
        <v>1.0643088000000001</v>
      </c>
      <c r="C418" s="4">
        <v>1.0391405</v>
      </c>
      <c r="D418" s="4">
        <v>-30.420023999999998</v>
      </c>
      <c r="E418" s="4">
        <f>((-46.7095482/(10/9))+-10.5)+-0.4</f>
        <v>-52.93859338</v>
      </c>
      <c r="F418" s="4">
        <f>((-0.41597819*(1.3/1.5))*0.6)-0.3</f>
        <v>-0.51630865879999999</v>
      </c>
    </row>
    <row r="419" spans="1:6" x14ac:dyDescent="0.4">
      <c r="A419" s="4">
        <v>365.14372499999996</v>
      </c>
      <c r="B419" s="4">
        <v>1.064187</v>
      </c>
      <c r="C419" s="4">
        <v>1.0390666</v>
      </c>
      <c r="D419" s="4">
        <v>-30.419211999999998</v>
      </c>
      <c r="E419" s="4">
        <f>((-46.755018/(10/9))+-10.5)+-0.4</f>
        <v>-52.979516199999999</v>
      </c>
      <c r="F419" s="4">
        <f>((-0.41608229*(1.3/1.5))*0.6)-0.3</f>
        <v>-0.51636279080000003</v>
      </c>
    </row>
    <row r="420" spans="1:6" x14ac:dyDescent="0.4">
      <c r="A420" s="4">
        <v>366.01865000000004</v>
      </c>
      <c r="B420" s="4">
        <v>1.0642104999999999</v>
      </c>
      <c r="C420" s="4">
        <v>1.0390566999999999</v>
      </c>
      <c r="D420" s="4">
        <v>-30.418447</v>
      </c>
      <c r="E420" s="4">
        <f>((-46.8043362/(10/9))+-10.5)+-0.4</f>
        <v>-53.023902579999998</v>
      </c>
      <c r="F420" s="4">
        <f>((-0.41622633*(1.3/1.5))*0.6)-0.3</f>
        <v>-0.51643769159999997</v>
      </c>
    </row>
    <row r="421" spans="1:6" x14ac:dyDescent="0.4">
      <c r="A421" s="4">
        <v>366.893575</v>
      </c>
      <c r="B421" s="4">
        <v>1.0641806</v>
      </c>
      <c r="C421" s="4">
        <v>1.0390740999999999</v>
      </c>
      <c r="D421" s="4">
        <v>-30.417625000000001</v>
      </c>
      <c r="E421" s="4">
        <f>((-46.7864289/(10/9))+-10.5)+-0.4</f>
        <v>-53.007786009999997</v>
      </c>
      <c r="F421" s="4">
        <f>((-0.41631004*(1.3/1.5))*0.6)-0.3</f>
        <v>-0.51648122080000003</v>
      </c>
    </row>
    <row r="422" spans="1:6" x14ac:dyDescent="0.4">
      <c r="A422" s="4">
        <v>367.76850000000002</v>
      </c>
      <c r="B422" s="4">
        <v>1.0643168999999999</v>
      </c>
      <c r="C422" s="4">
        <v>1.0392641</v>
      </c>
      <c r="D422" s="4">
        <v>-30.416529999999998</v>
      </c>
      <c r="E422" s="4">
        <f>((-46.5907932/(10/9))+-10.5)+-0.4</f>
        <v>-52.831713879999995</v>
      </c>
      <c r="F422" s="4">
        <f>((-0.4163667*(1.3/1.5))*0.6)-0.3</f>
        <v>-0.516510684</v>
      </c>
    </row>
    <row r="423" spans="1:6" x14ac:dyDescent="0.4">
      <c r="A423" s="4">
        <v>368.64342499999998</v>
      </c>
      <c r="B423" s="4">
        <v>1.0640221000000001</v>
      </c>
      <c r="C423" s="4">
        <v>1.0390413000000001</v>
      </c>
      <c r="D423" s="4">
        <v>-30.415706</v>
      </c>
      <c r="E423" s="4">
        <f>((-46.7798607/(10/9))+-10.5)+-0.4</f>
        <v>-53.001874629999996</v>
      </c>
      <c r="F423" s="4">
        <f>((-0.41644037*(1.3/1.5))*0.6)-0.3</f>
        <v>-0.51654899239999996</v>
      </c>
    </row>
    <row r="424" spans="1:6" x14ac:dyDescent="0.4">
      <c r="A424" s="4">
        <v>369.51835</v>
      </c>
      <c r="B424" s="4">
        <v>1.0641087</v>
      </c>
      <c r="C424" s="4">
        <v>1.0391870999999999</v>
      </c>
      <c r="D424" s="4">
        <v>-30.414940999999999</v>
      </c>
      <c r="E424" s="4">
        <f>((-46.6844715/(10/9))+-10.5)+-0.4</f>
        <v>-52.916024350000001</v>
      </c>
      <c r="F424" s="4">
        <f>((-0.41652754*(1.3/1.5))*0.6)-0.3</f>
        <v>-0.51659432080000001</v>
      </c>
    </row>
    <row r="425" spans="1:6" x14ac:dyDescent="0.4">
      <c r="A425" s="4">
        <v>370.39327500000002</v>
      </c>
      <c r="B425" s="4">
        <v>1.0640333</v>
      </c>
      <c r="C425" s="4">
        <v>1.0389572</v>
      </c>
      <c r="D425" s="4">
        <v>-30.413943</v>
      </c>
      <c r="E425" s="4">
        <f>((-46.8648162/(10/9))+-10.5)+-0.4</f>
        <v>-53.078334579999996</v>
      </c>
      <c r="F425" s="4">
        <f>((-0.41666254*(1.3/1.5))*0.6)-0.3</f>
        <v>-0.51666452080000003</v>
      </c>
    </row>
    <row r="426" spans="1:6" x14ac:dyDescent="0.4">
      <c r="A426" s="4">
        <v>371.26820000000004</v>
      </c>
      <c r="B426" s="4">
        <v>1.0640959000000001</v>
      </c>
      <c r="C426" s="4">
        <v>1.0390446</v>
      </c>
      <c r="D426" s="4">
        <v>-30.413093</v>
      </c>
      <c r="E426" s="4">
        <f>((-46.8728397/(10/9))+-10.5)+-0.4</f>
        <v>-53.085555729999996</v>
      </c>
      <c r="F426" s="4">
        <f>((-0.41662446*(1.3/1.5))*0.6)-0.3</f>
        <v>-0.51664471919999999</v>
      </c>
    </row>
    <row r="427" spans="1:6" x14ac:dyDescent="0.4">
      <c r="A427" s="4">
        <v>372.143125</v>
      </c>
      <c r="B427" s="4">
        <v>1.0640877</v>
      </c>
      <c r="C427" s="4">
        <v>1.0390284999999999</v>
      </c>
      <c r="D427" s="4">
        <v>-30.411832</v>
      </c>
      <c r="E427" s="4">
        <f>((-46.7504514/(10/9))+-10.5)+-0.4</f>
        <v>-52.97540626</v>
      </c>
      <c r="F427" s="4">
        <f>((-0.41660896*(1.3/1.5))*0.6)-0.3</f>
        <v>-0.51663665920000001</v>
      </c>
    </row>
    <row r="428" spans="1:6" x14ac:dyDescent="0.4">
      <c r="A428" s="4">
        <v>373.01805000000002</v>
      </c>
      <c r="B428" s="4">
        <v>1.0641562</v>
      </c>
      <c r="C428" s="4">
        <v>1.0391288000000001</v>
      </c>
      <c r="D428" s="4">
        <v>-30.411322999999999</v>
      </c>
      <c r="E428" s="4">
        <f>((-46.7683803/(10/9))+-10.5)+-0.4</f>
        <v>-52.991542269999997</v>
      </c>
      <c r="F428" s="4">
        <f>((-0.41673729*(1.3/1.5))*0.6)-0.3</f>
        <v>-0.51670339079999994</v>
      </c>
    </row>
    <row r="429" spans="1:6" x14ac:dyDescent="0.4">
      <c r="A429" s="4">
        <v>373.89297499999998</v>
      </c>
      <c r="B429" s="4">
        <v>1.0641465000000001</v>
      </c>
      <c r="C429" s="4">
        <v>1.0391887</v>
      </c>
      <c r="D429" s="4">
        <v>-30.410636</v>
      </c>
      <c r="E429" s="4">
        <f>((-46.6470081/(10/9))+-10.5)+-0.4</f>
        <v>-52.88230729</v>
      </c>
      <c r="F429" s="4">
        <f>((-0.41686383*(1.3/1.5))*0.6)-0.3</f>
        <v>-0.51676919160000001</v>
      </c>
    </row>
    <row r="430" spans="1:6" x14ac:dyDescent="0.4">
      <c r="A430" s="4">
        <v>374.7679</v>
      </c>
      <c r="B430" s="4">
        <v>1.0642069999999999</v>
      </c>
      <c r="C430" s="4">
        <v>1.0391142</v>
      </c>
      <c r="D430" s="4">
        <v>-30.409742999999999</v>
      </c>
      <c r="E430" s="4">
        <f>((-46.5443586/(10/9))+-10.5)+-0.4</f>
        <v>-52.789922740000002</v>
      </c>
      <c r="F430" s="4">
        <f>((-0.4170247*(1.3/1.5))*0.6)-0.3</f>
        <v>-0.51685284399999998</v>
      </c>
    </row>
    <row r="431" spans="1:6" x14ac:dyDescent="0.4">
      <c r="A431" s="4">
        <v>375.64282500000002</v>
      </c>
      <c r="B431" s="4">
        <v>1.0642486</v>
      </c>
      <c r="C431" s="4">
        <v>1.0391115</v>
      </c>
      <c r="D431" s="4">
        <v>-30.408849</v>
      </c>
      <c r="E431" s="4">
        <f>((-46.5511455/(10/9))+-10.5)+-0.4</f>
        <v>-52.796030949999995</v>
      </c>
      <c r="F431" s="4">
        <f>((-0.41708431*(1.3/1.5))*0.6)-0.3</f>
        <v>-0.51688384119999997</v>
      </c>
    </row>
    <row r="432" spans="1:6" x14ac:dyDescent="0.4">
      <c r="A432" s="4">
        <v>376.51774999999998</v>
      </c>
      <c r="B432" s="4">
        <v>1.0645081000000001</v>
      </c>
      <c r="C432" s="4">
        <v>1.0390965999999999</v>
      </c>
      <c r="D432" s="4">
        <v>-30.408360999999999</v>
      </c>
      <c r="E432" s="4">
        <f>((-46.6853436/(10/9))+-10.5)+-0.4</f>
        <v>-52.916809239999999</v>
      </c>
      <c r="F432" s="4">
        <f>((-0.41708553*(1.3/1.5))*0.6)-0.3</f>
        <v>-0.51688447559999995</v>
      </c>
    </row>
    <row r="433" spans="1:6" x14ac:dyDescent="0.4">
      <c r="A433" s="4">
        <v>377.392675</v>
      </c>
      <c r="B433" s="4">
        <v>1.0643182</v>
      </c>
      <c r="C433" s="4">
        <v>1.0390680000000001</v>
      </c>
      <c r="D433" s="4">
        <v>-30.407529</v>
      </c>
      <c r="E433" s="4">
        <f>((-46.6022115/(10/9))+-10.5)+-0.4</f>
        <v>-52.841990349999996</v>
      </c>
      <c r="F433" s="4">
        <f>((-0.41712108*(1.3/1.5))*0.6)-0.3</f>
        <v>-0.51690296160000004</v>
      </c>
    </row>
    <row r="434" spans="1:6" x14ac:dyDescent="0.4">
      <c r="A434" s="4">
        <v>378.26759999999996</v>
      </c>
      <c r="B434" s="4">
        <v>1.0643703</v>
      </c>
      <c r="C434" s="4">
        <v>1.0391657000000001</v>
      </c>
      <c r="D434" s="4">
        <v>-30.406431999999999</v>
      </c>
      <c r="E434" s="4">
        <f>((-46.7335431/(10/9))+-10.5)+-0.4</f>
        <v>-52.960188789999997</v>
      </c>
      <c r="F434" s="4">
        <f>((-0.41721866*(1.3/1.5))*0.6)-0.3</f>
        <v>-0.5169537032</v>
      </c>
    </row>
    <row r="435" spans="1:6" x14ac:dyDescent="0.4">
      <c r="A435" s="4">
        <v>379.14252500000003</v>
      </c>
      <c r="B435" s="4">
        <v>1.0644294000000001</v>
      </c>
      <c r="C435" s="4">
        <v>1.0390579</v>
      </c>
      <c r="D435" s="4">
        <v>-30.405652</v>
      </c>
      <c r="E435" s="4">
        <f>((-46.702548/(10/9))+-10.5)+-0.4</f>
        <v>-52.932293199999997</v>
      </c>
      <c r="F435" s="4">
        <f>((-0.41730651*(1.3/1.5))*0.6)-0.3</f>
        <v>-0.51699938519999999</v>
      </c>
    </row>
    <row r="436" spans="1:6" x14ac:dyDescent="0.4">
      <c r="A436" s="4">
        <v>380.01745</v>
      </c>
      <c r="B436" s="4">
        <v>1.0641904</v>
      </c>
      <c r="C436" s="4">
        <v>1.0388695999999999</v>
      </c>
      <c r="D436" s="4">
        <v>-30.404913999999998</v>
      </c>
      <c r="E436" s="4">
        <f>((-46.8911043/(10/9))+-10.5)+-0.4</f>
        <v>-53.101993870000001</v>
      </c>
      <c r="F436" s="4">
        <f>((-0.41739929*(1.3/1.5))*0.6)-0.3</f>
        <v>-0.51704763079999994</v>
      </c>
    </row>
    <row r="437" spans="1:6" x14ac:dyDescent="0.4">
      <c r="A437" s="4">
        <v>380.89237500000002</v>
      </c>
      <c r="B437" s="4">
        <v>1.0643879000000001</v>
      </c>
      <c r="C437" s="4">
        <v>1.0390718000000001</v>
      </c>
      <c r="D437" s="4">
        <v>-30.404354999999999</v>
      </c>
      <c r="E437" s="4">
        <f>((-46.5673374/(10/9))+-10.5)+-0.4</f>
        <v>-52.810603659999998</v>
      </c>
      <c r="F437" s="4">
        <f>((-0.41754732*(1.3/1.5))*0.6)-0.3</f>
        <v>-0.51712460640000002</v>
      </c>
    </row>
    <row r="438" spans="1:6" x14ac:dyDescent="0.4">
      <c r="A438" s="4">
        <v>381.76729999999998</v>
      </c>
      <c r="B438" s="4">
        <v>1.0643069000000001</v>
      </c>
      <c r="C438" s="4">
        <v>1.0391356</v>
      </c>
      <c r="D438" s="4">
        <v>-30.403635999999999</v>
      </c>
      <c r="E438" s="4">
        <f>((-46.6084566/(10/9))+-10.5)+-0.4</f>
        <v>-52.847610939999996</v>
      </c>
      <c r="F438" s="4">
        <f>((-0.41757914*(1.3/1.5))*0.6)-0.3</f>
        <v>-0.51714115280000006</v>
      </c>
    </row>
    <row r="439" spans="1:6" x14ac:dyDescent="0.4">
      <c r="A439" s="4">
        <v>382.642225</v>
      </c>
      <c r="B439" s="4">
        <v>1.0644066000000001</v>
      </c>
      <c r="C439" s="4">
        <v>1.0390111</v>
      </c>
      <c r="D439" s="4">
        <v>-30.403017999999999</v>
      </c>
      <c r="E439" s="4">
        <f>((-46.4717358/(10/9))+-10.5)+-0.4</f>
        <v>-52.724562219999996</v>
      </c>
      <c r="F439" s="4">
        <f>((-0.41757366*(1.3/1.5))*0.6)-0.3</f>
        <v>-0.51713830319999998</v>
      </c>
    </row>
    <row r="440" spans="1:6" x14ac:dyDescent="0.4">
      <c r="A440" s="4">
        <v>383.51715000000002</v>
      </c>
      <c r="B440" s="4">
        <v>1.064368</v>
      </c>
      <c r="C440" s="4">
        <v>1.0391918</v>
      </c>
      <c r="D440" s="4">
        <v>-30.402442000000001</v>
      </c>
      <c r="E440" s="4">
        <f>((-46.6107363/(10/9))+-10.5)+-0.4</f>
        <v>-52.849662669999994</v>
      </c>
      <c r="F440" s="4">
        <f>((-0.41758004*(1.3/1.5))*0.6)-0.3</f>
        <v>-0.51714162080000003</v>
      </c>
    </row>
    <row r="441" spans="1:6" x14ac:dyDescent="0.4">
      <c r="A441" s="4">
        <v>384.39207500000003</v>
      </c>
      <c r="B441" s="4">
        <v>1.0643966</v>
      </c>
      <c r="C441" s="4">
        <v>1.0389854000000001</v>
      </c>
      <c r="D441" s="4">
        <v>-30.401852999999999</v>
      </c>
      <c r="E441" s="4">
        <f>((-46.3568805/(10/9))+-10.5)+-0.4</f>
        <v>-52.621192450000002</v>
      </c>
      <c r="F441" s="4">
        <f>((-0.41758847*(1.3/1.5))*0.6)-0.3</f>
        <v>-0.51714600440000003</v>
      </c>
    </row>
    <row r="442" spans="1:6" x14ac:dyDescent="0.4">
      <c r="A442" s="4">
        <v>385.267</v>
      </c>
      <c r="B442" s="4">
        <v>1.0642320000000001</v>
      </c>
      <c r="C442" s="4">
        <v>1.0390594</v>
      </c>
      <c r="D442" s="4">
        <v>-30.401166</v>
      </c>
      <c r="E442" s="4">
        <f>((-46.3780395/(10/9))+-10.5)+-0.4</f>
        <v>-52.64023555</v>
      </c>
      <c r="F442" s="4">
        <f>((-0.41769668*(1.3/1.5))*0.6)-0.3</f>
        <v>-0.51720227359999993</v>
      </c>
    </row>
    <row r="443" spans="1:6" x14ac:dyDescent="0.4">
      <c r="A443" s="4">
        <v>386.14192500000001</v>
      </c>
      <c r="B443" s="4">
        <v>1.0641077000000001</v>
      </c>
      <c r="C443" s="4">
        <v>1.0389371000000001</v>
      </c>
      <c r="D443" s="4">
        <v>-30.400468</v>
      </c>
      <c r="E443" s="4">
        <f>((-46.3123476/(10/9))+-10.5)+-0.4</f>
        <v>-52.581112839999996</v>
      </c>
      <c r="F443" s="4">
        <f>((-0.41776243*(1.3/1.5))*0.6)-0.3</f>
        <v>-0.51723646359999997</v>
      </c>
    </row>
    <row r="444" spans="1:6" x14ac:dyDescent="0.4">
      <c r="A444" s="4">
        <v>387.01684999999998</v>
      </c>
      <c r="B444" s="4">
        <v>1.0642204</v>
      </c>
      <c r="C444" s="4">
        <v>1.0389971</v>
      </c>
      <c r="D444" s="4">
        <v>-30.399819999999998</v>
      </c>
      <c r="E444" s="4">
        <f>((-46.6042473/(10/9))+-10.5)+-0.4</f>
        <v>-52.843822569999993</v>
      </c>
      <c r="F444" s="4">
        <f>((-0.41783416*(1.3/1.5))*0.6)-0.3</f>
        <v>-0.51727376319999996</v>
      </c>
    </row>
    <row r="445" spans="1:6" x14ac:dyDescent="0.4">
      <c r="A445" s="4">
        <v>387.891775</v>
      </c>
      <c r="B445" s="4">
        <v>1.0641738999999999</v>
      </c>
      <c r="C445" s="4">
        <v>1.0388942000000001</v>
      </c>
      <c r="D445" s="4">
        <v>-30.399214999999998</v>
      </c>
      <c r="E445" s="4">
        <f>((-46.6423632/(10/9))+-10.5)+-0.4</f>
        <v>-52.878126879999996</v>
      </c>
      <c r="F445" s="4">
        <f>((-0.4179635*(1.3/1.5))*0.6)-0.3</f>
        <v>-0.51734101999999993</v>
      </c>
    </row>
    <row r="446" spans="1:6" x14ac:dyDescent="0.4">
      <c r="A446" s="4">
        <v>388.76670000000001</v>
      </c>
      <c r="B446" s="4">
        <v>1.0639426999999999</v>
      </c>
      <c r="C446" s="4">
        <v>1.0389748999999999</v>
      </c>
      <c r="D446" s="4">
        <v>-30.398779999999999</v>
      </c>
      <c r="E446" s="4">
        <f>((-46.6580052/(10/9))+-10.5)+-0.4</f>
        <v>-52.892204679999992</v>
      </c>
      <c r="F446" s="4">
        <f>((-0.41808152*(1.3/1.5))*0.6)-0.3</f>
        <v>-0.51740239040000002</v>
      </c>
    </row>
    <row r="447" spans="1:6" x14ac:dyDescent="0.4">
      <c r="A447" s="4">
        <v>389.64162499999998</v>
      </c>
      <c r="B447" s="4">
        <v>1.0639893</v>
      </c>
      <c r="C447" s="4">
        <v>1.0387850999999999</v>
      </c>
      <c r="D447" s="4">
        <v>-30.398339</v>
      </c>
      <c r="E447" s="4">
        <f>((-46.4469444/(10/9))+-10.5)+-0.4</f>
        <v>-52.702249959999996</v>
      </c>
      <c r="F447" s="4">
        <f>((-0.41817391*(1.3/1.5))*0.6)-0.3</f>
        <v>-0.51745043319999995</v>
      </c>
    </row>
    <row r="448" spans="1:6" x14ac:dyDescent="0.4">
      <c r="A448" s="4">
        <v>390.51655</v>
      </c>
      <c r="B448" s="4">
        <v>1.0638369000000001</v>
      </c>
      <c r="C448" s="4">
        <v>1.0389314000000001</v>
      </c>
      <c r="D448" s="4">
        <v>-30.397887000000001</v>
      </c>
      <c r="E448" s="4">
        <f>((-46.6074333/(10/9))+-10.5)+-0.4</f>
        <v>-52.846689969999993</v>
      </c>
      <c r="F448" s="4">
        <f>((-0.41824943*(1.3/1.5))*0.6)-0.3</f>
        <v>-0.51748970359999991</v>
      </c>
    </row>
    <row r="449" spans="1:6" x14ac:dyDescent="0.4">
      <c r="A449" s="4">
        <v>391.39147499999996</v>
      </c>
      <c r="B449" s="4">
        <v>1.0638567999999999</v>
      </c>
      <c r="C449" s="4">
        <v>1.0388913</v>
      </c>
      <c r="D449" s="4">
        <v>-30.397392</v>
      </c>
      <c r="E449" s="4">
        <f>((-46.6313148/(10/9))+-10.5)+-0.4</f>
        <v>-52.868183319999993</v>
      </c>
      <c r="F449" s="4">
        <f>((-0.41833991*(1.3/1.5))*0.6)-0.3</f>
        <v>-0.51753675319999992</v>
      </c>
    </row>
    <row r="450" spans="1:6" x14ac:dyDescent="0.4">
      <c r="A450" s="4">
        <v>392.26640000000003</v>
      </c>
      <c r="B450" s="4">
        <v>1.0638829000000001</v>
      </c>
      <c r="C450" s="4">
        <v>1.0388457</v>
      </c>
      <c r="D450" s="4">
        <v>-30.396556</v>
      </c>
      <c r="E450" s="4">
        <f>((-46.3064391/(10/9))+-10.5)+-0.4</f>
        <v>-52.575795189999994</v>
      </c>
      <c r="F450" s="4">
        <f>((-0.41835943*(1.3/1.5))*0.6)-0.3</f>
        <v>-0.5175469036</v>
      </c>
    </row>
    <row r="451" spans="1:6" x14ac:dyDescent="0.4">
      <c r="A451" s="4">
        <v>393.14132499999999</v>
      </c>
      <c r="B451" s="4">
        <v>1.0638050999999999</v>
      </c>
      <c r="C451" s="4">
        <v>1.0389085</v>
      </c>
      <c r="D451" s="4">
        <v>-30.395775999999998</v>
      </c>
      <c r="E451" s="4">
        <f>((-46.4742414/(10/9))+-10.5)+-0.4</f>
        <v>-52.726817259999997</v>
      </c>
      <c r="F451" s="4">
        <f>((-0.41839373*(1.3/1.5))*0.6)-0.3</f>
        <v>-0.51756473960000005</v>
      </c>
    </row>
    <row r="452" spans="1:6" x14ac:dyDescent="0.4">
      <c r="A452" s="4">
        <v>394.01625000000001</v>
      </c>
      <c r="B452" s="4">
        <v>1.0639448</v>
      </c>
      <c r="C452" s="4">
        <v>1.0389792</v>
      </c>
      <c r="D452" s="4">
        <v>-30.395334999999999</v>
      </c>
      <c r="E452" s="4">
        <f>((-46.5024906/(10/9))+-10.5)+-0.4</f>
        <v>-52.75224154</v>
      </c>
      <c r="F452" s="4">
        <f>((-0.41863438*(1.3/1.5))*0.6)-0.3</f>
        <v>-0.51768987759999996</v>
      </c>
    </row>
    <row r="453" spans="1:6" x14ac:dyDescent="0.4">
      <c r="A453" s="4">
        <v>394.89117499999998</v>
      </c>
      <c r="B453" s="4">
        <v>1.0639272</v>
      </c>
      <c r="C453" s="4">
        <v>1.0388261999999999</v>
      </c>
      <c r="D453" s="4">
        <v>-30.394489</v>
      </c>
      <c r="E453" s="4">
        <f>((-46.4283189/(10/9))+-10.5)+-0.4</f>
        <v>-52.685487009999996</v>
      </c>
      <c r="F453" s="4">
        <f>((-0.4187457*(1.3/1.5))*0.6)-0.3</f>
        <v>-0.517747764</v>
      </c>
    </row>
    <row r="454" spans="1:6" x14ac:dyDescent="0.4">
      <c r="A454" s="4">
        <v>395.76609999999999</v>
      </c>
      <c r="B454" s="4">
        <v>1.0638882999999999</v>
      </c>
      <c r="C454" s="4">
        <v>1.0388312</v>
      </c>
      <c r="D454" s="4">
        <v>-30.393927999999999</v>
      </c>
      <c r="E454" s="4">
        <f>((-46.5607107/(10/9))+-10.5)+-0.4</f>
        <v>-52.804639629999997</v>
      </c>
      <c r="F454" s="4">
        <f>((-0.41877514*(1.3/1.5))*0.6)-0.3</f>
        <v>-0.5177630728</v>
      </c>
    </row>
    <row r="455" spans="1:6" x14ac:dyDescent="0.4">
      <c r="A455" s="4">
        <v>396.64102500000001</v>
      </c>
      <c r="B455" s="4">
        <v>1.0638262000000001</v>
      </c>
      <c r="C455" s="4">
        <v>1.0388142</v>
      </c>
      <c r="D455" s="4">
        <v>-30.393356999999998</v>
      </c>
      <c r="E455" s="4">
        <f>((-46.4049045/(10/9))+-10.5)+-0.4</f>
        <v>-52.664414049999998</v>
      </c>
      <c r="F455" s="4">
        <f>((-0.41885886*(1.3/1.5))*0.6)-0.3</f>
        <v>-0.51780660720000005</v>
      </c>
    </row>
    <row r="456" spans="1:6" x14ac:dyDescent="0.4">
      <c r="A456" s="4">
        <v>397.51595000000003</v>
      </c>
      <c r="B456" s="4">
        <v>1.0638323999999999</v>
      </c>
      <c r="C456" s="4">
        <v>1.0390267</v>
      </c>
      <c r="D456" s="4">
        <v>-30.392807999999999</v>
      </c>
      <c r="E456" s="4">
        <f>((-46.4043888/(10/9))+-10.5)+-0.4</f>
        <v>-52.663949919999993</v>
      </c>
      <c r="F456" s="4">
        <f>((-0.41897437*(1.3/1.5))*0.6)-0.3</f>
        <v>-0.51786667239999995</v>
      </c>
    </row>
    <row r="457" spans="1:6" x14ac:dyDescent="0.4">
      <c r="A457" s="4">
        <v>398.39087499999999</v>
      </c>
      <c r="B457" s="4">
        <v>1.0637295</v>
      </c>
      <c r="C457" s="4">
        <v>1.0388710000000001</v>
      </c>
      <c r="D457" s="4">
        <v>-30.391963000000001</v>
      </c>
      <c r="E457" s="4">
        <f>((-46.3827258/(10/9))+-10.5)+-0.4</f>
        <v>-52.644453220000003</v>
      </c>
      <c r="F457" s="4">
        <f>((-0.41919729*(1.3/1.5))*0.6)-0.3</f>
        <v>-0.51798259079999998</v>
      </c>
    </row>
    <row r="458" spans="1:6" x14ac:dyDescent="0.4">
      <c r="A458" s="4">
        <v>399.26580000000001</v>
      </c>
      <c r="B458" s="4">
        <v>1.0635701</v>
      </c>
      <c r="C458" s="4">
        <v>1.0387876</v>
      </c>
      <c r="D458" s="4">
        <v>-30.391378</v>
      </c>
      <c r="E458" s="4">
        <f>((-46.3175937/(10/9))+-10.5)+-0.4</f>
        <v>-52.585834329999997</v>
      </c>
      <c r="F458" s="4">
        <f>((-0.41941613*(1.3/1.5))*0.6)-0.3</f>
        <v>-0.51809638759999999</v>
      </c>
    </row>
    <row r="459" spans="1:6" x14ac:dyDescent="0.4">
      <c r="A459" s="4">
        <v>400.14072499999997</v>
      </c>
      <c r="B459" s="4">
        <v>1.0637125999999999</v>
      </c>
      <c r="C459" s="4">
        <v>1.0388546000000001</v>
      </c>
      <c r="D459" s="4">
        <v>-30.390287000000001</v>
      </c>
      <c r="E459" s="4">
        <f>((-46.4179302/(10/9))+-10.5)+-0.4</f>
        <v>-52.676137179999998</v>
      </c>
      <c r="F459" s="4">
        <f>((-0.41952175*(1.3/1.5))*0.6)-0.3</f>
        <v>-0.51815131000000003</v>
      </c>
    </row>
    <row r="460" spans="1:6" x14ac:dyDescent="0.4">
      <c r="A460" s="4">
        <v>401.01565000000005</v>
      </c>
      <c r="B460" s="4">
        <v>1.0635604000000001</v>
      </c>
      <c r="C460" s="4">
        <v>1.0388307999999999</v>
      </c>
      <c r="D460" s="4">
        <v>-30.389764</v>
      </c>
      <c r="E460" s="4">
        <f>((-46.2390795/(10/9))+-10.5)+-0.4</f>
        <v>-52.515171549999998</v>
      </c>
      <c r="F460" s="4">
        <f>((-0.41962254*(1.3/1.5))*0.6)-0.3</f>
        <v>-0.51820372079999999</v>
      </c>
    </row>
    <row r="461" spans="1:6" x14ac:dyDescent="0.4">
      <c r="A461" s="4">
        <v>401.89057500000001</v>
      </c>
      <c r="B461" s="4">
        <v>1.0635327999999999</v>
      </c>
      <c r="C461" s="4">
        <v>1.0388162000000001</v>
      </c>
      <c r="D461" s="4">
        <v>-30.38907</v>
      </c>
      <c r="E461" s="4">
        <f>((-46.155933/(10/9))+-10.5)+-0.4</f>
        <v>-52.440339699999996</v>
      </c>
      <c r="F461" s="4">
        <f>((-0.41975722*(1.3/1.5))*0.6)-0.3</f>
        <v>-0.51827375440000001</v>
      </c>
    </row>
    <row r="462" spans="1:6" x14ac:dyDescent="0.4">
      <c r="A462" s="4">
        <v>402.76549999999997</v>
      </c>
      <c r="B462" s="4">
        <v>1.0636353000000001</v>
      </c>
      <c r="C462" s="4">
        <v>1.0387303999999999</v>
      </c>
      <c r="D462" s="4">
        <v>-30.388638999999998</v>
      </c>
      <c r="E462" s="4">
        <f>((-46.0347714/(10/9))+-10.5)+-0.4</f>
        <v>-52.331294259999993</v>
      </c>
      <c r="F462" s="4">
        <f>((-0.41996989*(1.3/1.5))*0.6)-0.3</f>
        <v>-0.51838434280000001</v>
      </c>
    </row>
    <row r="463" spans="1:6" x14ac:dyDescent="0.4">
      <c r="A463" s="4">
        <v>403.64042499999999</v>
      </c>
      <c r="B463" s="4">
        <v>1.0636017</v>
      </c>
      <c r="C463" s="4">
        <v>1.0388170000000001</v>
      </c>
      <c r="D463" s="4">
        <v>-30.388006999999998</v>
      </c>
      <c r="E463" s="4">
        <f>((-46.4606568/(10/9))+-10.5)+-0.4</f>
        <v>-52.714591120000001</v>
      </c>
      <c r="F463" s="4">
        <f>((-0.42012501*(1.3/1.5))*0.6)-0.3</f>
        <v>-0.51846500519999994</v>
      </c>
    </row>
    <row r="464" spans="1:6" x14ac:dyDescent="0.4">
      <c r="A464" s="4">
        <v>404.51534999999996</v>
      </c>
      <c r="B464" s="4">
        <v>1.0636224999999999</v>
      </c>
      <c r="C464" s="4">
        <v>1.0387698000000001</v>
      </c>
      <c r="D464" s="4">
        <v>-30.387111000000001</v>
      </c>
      <c r="E464" s="4">
        <f>((-46.3191867/(10/9))+-10.5)+-0.4</f>
        <v>-52.587268029999997</v>
      </c>
      <c r="F464" s="4">
        <f>((-0.42026415*(1.3/1.5))*0.6)-0.3</f>
        <v>-0.518537358</v>
      </c>
    </row>
    <row r="465" spans="1:6" x14ac:dyDescent="0.4">
      <c r="A465" s="4">
        <v>405.39027500000003</v>
      </c>
      <c r="B465" s="4">
        <v>1.0635555999999999</v>
      </c>
      <c r="C465" s="4">
        <v>1.0387567</v>
      </c>
      <c r="D465" s="4">
        <v>-30.386343999999998</v>
      </c>
      <c r="E465" s="4">
        <f>((-46.2752487/(10/9))+-10.5)+-0.4</f>
        <v>-52.547723829999995</v>
      </c>
      <c r="F465" s="4">
        <f>((-0.42036551*(1.3/1.5))*0.6)-0.3</f>
        <v>-0.51859006519999995</v>
      </c>
    </row>
    <row r="466" spans="1:6" x14ac:dyDescent="0.4">
      <c r="A466" s="4">
        <v>406.26519999999999</v>
      </c>
      <c r="B466" s="4">
        <v>1.0633600000000001</v>
      </c>
      <c r="C466" s="4">
        <v>1.0388276999999999</v>
      </c>
      <c r="D466" s="4">
        <v>-30.385826999999999</v>
      </c>
      <c r="E466" s="4">
        <f>((-46.3118256/(10/9))+-10.5)+-0.4</f>
        <v>-52.580643039999998</v>
      </c>
      <c r="F466" s="4">
        <f>((-0.42052767*(1.3/1.5))*0.6)-0.3</f>
        <v>-0.51867438840000002</v>
      </c>
    </row>
    <row r="467" spans="1:6" x14ac:dyDescent="0.4">
      <c r="A467" s="4">
        <v>407.14012500000001</v>
      </c>
      <c r="B467" s="4">
        <v>1.0635532000000001</v>
      </c>
      <c r="C467" s="4">
        <v>1.0387112999999999</v>
      </c>
      <c r="D467" s="4">
        <v>-30.385182999999998</v>
      </c>
      <c r="E467" s="4">
        <f>((-46.0599057/(10/9))+-10.5)+-0.4</f>
        <v>-52.353915129999997</v>
      </c>
      <c r="F467" s="4">
        <f>((-0.42068818*(1.3/1.5))*0.6)-0.3</f>
        <v>-0.51875785360000004</v>
      </c>
    </row>
    <row r="468" spans="1:6" x14ac:dyDescent="0.4">
      <c r="A468" s="4">
        <v>408.01504999999997</v>
      </c>
      <c r="B468" s="4">
        <v>1.0634585999999999</v>
      </c>
      <c r="C468" s="4">
        <v>1.0387166000000001</v>
      </c>
      <c r="D468" s="4">
        <v>-30.384415999999998</v>
      </c>
      <c r="E468" s="4">
        <f>((-46.4036409/(10/9))+-10.5)+-0.4</f>
        <v>-52.663276809999999</v>
      </c>
      <c r="F468" s="4">
        <f>((-0.42073619*(1.3/1.5))*0.6)-0.3</f>
        <v>-0.51878281879999999</v>
      </c>
    </row>
    <row r="469" spans="1:6" x14ac:dyDescent="0.4">
      <c r="A469" s="4">
        <v>408.88997499999999</v>
      </c>
      <c r="B469" s="4">
        <v>1.0634357999999999</v>
      </c>
      <c r="C469" s="4">
        <v>1.0387092</v>
      </c>
      <c r="D469" s="4">
        <v>-30.383642999999999</v>
      </c>
      <c r="E469" s="4">
        <f>((-46.1820186/(10/9))+-10.5)+-0.4</f>
        <v>-52.463816739999999</v>
      </c>
      <c r="F469" s="4">
        <f>((-0.42086241*(1.3/1.5))*0.6)-0.3</f>
        <v>-0.51884845319999995</v>
      </c>
    </row>
    <row r="470" spans="1:6" x14ac:dyDescent="0.4">
      <c r="A470" s="4">
        <v>409.76490000000001</v>
      </c>
      <c r="B470" s="4">
        <v>1.0634319999999999</v>
      </c>
      <c r="C470" s="4">
        <v>1.0384572000000001</v>
      </c>
      <c r="D470" s="4">
        <v>-30.38269</v>
      </c>
      <c r="E470" s="4">
        <f>((-46.0219761/(10/9))+-10.5)+-0.4</f>
        <v>-52.319778489999997</v>
      </c>
      <c r="F470" s="4">
        <f>((-0.42106494*(1.3/1.5))*0.6)-0.3</f>
        <v>-0.51895376879999999</v>
      </c>
    </row>
    <row r="471" spans="1:6" x14ac:dyDescent="0.4">
      <c r="A471" s="4">
        <v>410.63982500000003</v>
      </c>
      <c r="B471" s="4">
        <v>1.0631178999999999</v>
      </c>
      <c r="C471" s="4">
        <v>1.0385358</v>
      </c>
      <c r="D471" s="4">
        <v>-30.381625</v>
      </c>
      <c r="E471" s="4">
        <f>((-46.0236033/(10/9))+-10.5)+-0.4</f>
        <v>-52.321242969999993</v>
      </c>
      <c r="F471" s="4">
        <f>((-0.42119846*(1.3/1.5))*0.6)-0.3</f>
        <v>-0.51902319919999995</v>
      </c>
    </row>
    <row r="472" spans="1:6" x14ac:dyDescent="0.4">
      <c r="A472" s="4">
        <v>411.51474999999999</v>
      </c>
      <c r="B472" s="4">
        <v>1.0632427</v>
      </c>
      <c r="C472" s="4">
        <v>1.0385987999999999</v>
      </c>
      <c r="D472" s="4">
        <v>-30.38063</v>
      </c>
      <c r="E472" s="4">
        <f>((-46.2136905/(10/9))+-10.5)+-0.4</f>
        <v>-52.492321449999999</v>
      </c>
      <c r="F472" s="4">
        <f>((-0.42136896*(1.3/1.5))*0.6)-0.3</f>
        <v>-0.51911185920000003</v>
      </c>
    </row>
    <row r="473" spans="1:6" x14ac:dyDescent="0.4">
      <c r="A473" s="4">
        <v>412.38967500000001</v>
      </c>
      <c r="B473" s="4">
        <v>1.063334</v>
      </c>
      <c r="C473" s="4">
        <v>1.0384818</v>
      </c>
      <c r="D473" s="4">
        <v>-30.379574999999999</v>
      </c>
      <c r="E473" s="4">
        <f>((-46.1488059/(10/9))+-10.5)+-0.4</f>
        <v>-52.433925309999999</v>
      </c>
      <c r="F473" s="4">
        <f>((-0.42150727*(1.3/1.5))*0.6)-0.3</f>
        <v>-0.51918378040000002</v>
      </c>
    </row>
    <row r="474" spans="1:6" x14ac:dyDescent="0.4">
      <c r="A474" s="4">
        <v>413.26459999999997</v>
      </c>
      <c r="B474" s="4">
        <v>1.0633288999999999</v>
      </c>
      <c r="C474" s="4">
        <v>1.0387388</v>
      </c>
      <c r="D474" s="4">
        <v>-30.378722</v>
      </c>
      <c r="E474" s="4">
        <f>((-46.0280115/(10/9))+-10.5)+-0.4</f>
        <v>-52.325210349999992</v>
      </c>
      <c r="F474" s="4">
        <f>((-0.42167696*(1.3/1.5))*0.6)-0.3</f>
        <v>-0.51927201919999999</v>
      </c>
    </row>
    <row r="475" spans="1:6" x14ac:dyDescent="0.4">
      <c r="A475" s="4">
        <v>414.13952500000005</v>
      </c>
      <c r="B475" s="4">
        <v>1.0633037000000001</v>
      </c>
      <c r="C475" s="4">
        <v>1.0386384</v>
      </c>
      <c r="D475" s="4">
        <v>-30.377915999999999</v>
      </c>
      <c r="E475" s="4">
        <f>((-46.2700845/(10/9))+-10.5)+-0.4</f>
        <v>-52.543076049999996</v>
      </c>
      <c r="F475" s="4">
        <f>((-0.42185202*(1.3/1.5))*0.6)-0.3</f>
        <v>-0.51936305039999997</v>
      </c>
    </row>
    <row r="476" spans="1:6" x14ac:dyDescent="0.4">
      <c r="A476" s="4">
        <v>415.01445000000001</v>
      </c>
      <c r="B476" s="4">
        <v>1.0633652</v>
      </c>
      <c r="C476" s="4">
        <v>1.0386166999999999</v>
      </c>
      <c r="D476" s="4">
        <v>-30.376935</v>
      </c>
      <c r="E476" s="4">
        <f>((-46.2922497/(10/9))+-10.5)+-0.4</f>
        <v>-52.563024729999995</v>
      </c>
      <c r="F476" s="4">
        <f>((-0.42193219*(1.3/1.5))*0.6)-0.3</f>
        <v>-0.51940473879999993</v>
      </c>
    </row>
    <row r="477" spans="1:6" x14ac:dyDescent="0.4">
      <c r="A477" s="4">
        <v>415.88937499999997</v>
      </c>
      <c r="B477" s="4">
        <v>1.0631440000000001</v>
      </c>
      <c r="C477" s="4">
        <v>1.0384956999999999</v>
      </c>
      <c r="D477" s="4">
        <v>-30.375819</v>
      </c>
      <c r="E477" s="4">
        <f>((-46.1455785/(10/9))+-10.5)+-0.4</f>
        <v>-52.431020649999994</v>
      </c>
      <c r="F477" s="4">
        <f>((-0.42199439*(1.3/1.5))*0.6)-0.3</f>
        <v>-0.51943708280000001</v>
      </c>
    </row>
    <row r="478" spans="1:6" x14ac:dyDescent="0.4">
      <c r="A478" s="4">
        <v>416.76429999999999</v>
      </c>
      <c r="B478" s="4">
        <v>1.0631820999999999</v>
      </c>
      <c r="C478" s="4">
        <v>1.0384332000000001</v>
      </c>
      <c r="D478" s="4">
        <v>-30.374794999999999</v>
      </c>
      <c r="E478" s="4">
        <f>((-46.2383136/(10/9))+-10.5)+-0.4</f>
        <v>-52.514482239999992</v>
      </c>
      <c r="F478" s="4">
        <f>((-0.42212209*(1.3/1.5))*0.6)-0.3</f>
        <v>-0.51950348680000002</v>
      </c>
    </row>
    <row r="479" spans="1:6" x14ac:dyDescent="0.4">
      <c r="A479" s="4">
        <v>417.63922499999995</v>
      </c>
      <c r="B479" s="4">
        <v>1.0631138</v>
      </c>
      <c r="C479" s="4">
        <v>1.0383023</v>
      </c>
      <c r="D479" s="4">
        <v>-30.373832</v>
      </c>
      <c r="E479" s="4">
        <f>((-46.1348361/(10/9))+-10.5)+-0.4</f>
        <v>-52.421352489999997</v>
      </c>
      <c r="F479" s="4">
        <f>((-0.42229837*(1.3/1.5))*0.6)-0.3</f>
        <v>-0.51959515239999998</v>
      </c>
    </row>
    <row r="480" spans="1:6" x14ac:dyDescent="0.4">
      <c r="A480" s="4">
        <v>418.51415000000003</v>
      </c>
      <c r="B480" s="4">
        <v>1.0630771999999999</v>
      </c>
      <c r="C480" s="4">
        <v>1.0382735000000001</v>
      </c>
      <c r="D480" s="4">
        <v>-30.372669999999999</v>
      </c>
      <c r="E480" s="4">
        <f>((-46.0445805/(10/9))+-10.5)+-0.4</f>
        <v>-52.340122449999996</v>
      </c>
      <c r="F480" s="4">
        <f>((-0.42245045*(1.3/1.5))*0.6)-0.3</f>
        <v>-0.51967423400000001</v>
      </c>
    </row>
    <row r="481" spans="1:6" x14ac:dyDescent="0.4">
      <c r="A481" s="4">
        <v>419.38907499999999</v>
      </c>
      <c r="B481" s="4">
        <v>1.0629995000000001</v>
      </c>
      <c r="C481" s="4">
        <v>1.0383912</v>
      </c>
      <c r="D481" s="4">
        <v>-30.371223000000001</v>
      </c>
      <c r="E481" s="4">
        <f>((-46.0772334/(10/9))+-10.5)+-0.4</f>
        <v>-52.369510059999996</v>
      </c>
      <c r="F481" s="4">
        <f>((-0.4225274*(1.3/1.5))*0.6)-0.3</f>
        <v>-0.51971424799999999</v>
      </c>
    </row>
    <row r="482" spans="1:6" x14ac:dyDescent="0.4">
      <c r="A482" s="4">
        <v>420.26400000000001</v>
      </c>
      <c r="B482" s="4">
        <v>1.0631961000000001</v>
      </c>
      <c r="C482" s="4">
        <v>1.0385230000000001</v>
      </c>
      <c r="D482" s="4">
        <v>-30.370096999999998</v>
      </c>
      <c r="E482" s="4">
        <f>((-45.9684585/(10/9))+-10.5)+-0.4</f>
        <v>-52.271612649999994</v>
      </c>
      <c r="F482" s="4">
        <f>((-0.42267475*(1.3/1.5))*0.6)-0.3</f>
        <v>-0.51979087000000002</v>
      </c>
    </row>
    <row r="483" spans="1:6" x14ac:dyDescent="0.4">
      <c r="A483" s="4">
        <v>421.13892499999997</v>
      </c>
      <c r="B483" s="4">
        <v>1.0632391999999999</v>
      </c>
      <c r="C483" s="4">
        <v>1.0384116999999999</v>
      </c>
      <c r="D483" s="4">
        <v>-30.369150999999999</v>
      </c>
      <c r="E483" s="4">
        <f>((-45.9641331/(10/9))+-10.5)+-0.4</f>
        <v>-52.267719789999994</v>
      </c>
      <c r="F483" s="4">
        <f>((-0.42280081*(1.3/1.5))*0.6)-0.3</f>
        <v>-0.51985642119999997</v>
      </c>
    </row>
    <row r="484" spans="1:6" x14ac:dyDescent="0.4">
      <c r="A484" s="4">
        <v>422.01384999999999</v>
      </c>
      <c r="B484" s="4">
        <v>1.0629778000000001</v>
      </c>
      <c r="C484" s="4">
        <v>1.0382528</v>
      </c>
      <c r="D484" s="4">
        <v>-30.368116000000001</v>
      </c>
      <c r="E484" s="4">
        <f>((-45.9812745/(10/9))+-10.5)+-0.4</f>
        <v>-52.283147049999997</v>
      </c>
      <c r="F484" s="4">
        <f>((-0.42297512*(1.3/1.5))*0.6)-0.3</f>
        <v>-0.51994706239999999</v>
      </c>
    </row>
    <row r="485" spans="1:6" x14ac:dyDescent="0.4">
      <c r="A485" s="4">
        <v>422.88877500000001</v>
      </c>
      <c r="B485" s="4">
        <v>1.0629557000000001</v>
      </c>
      <c r="C485" s="4">
        <v>1.0382699</v>
      </c>
      <c r="D485" s="4">
        <v>-30.366890999999999</v>
      </c>
      <c r="E485" s="4">
        <f>((-45.9756612/(10/9))+-10.5)+-0.4</f>
        <v>-52.278095079999993</v>
      </c>
      <c r="F485" s="4">
        <f>((-0.42307389*(1.3/1.5))*0.6)-0.3</f>
        <v>-0.51999842279999997</v>
      </c>
    </row>
    <row r="486" spans="1:6" x14ac:dyDescent="0.4">
      <c r="A486" s="4">
        <v>423.76370000000003</v>
      </c>
      <c r="B486" s="4">
        <v>1.0629734</v>
      </c>
      <c r="C486" s="4">
        <v>1.0383003</v>
      </c>
      <c r="D486" s="4">
        <v>-30.365465999999998</v>
      </c>
      <c r="E486" s="4">
        <f>((-45.8935938/(10/9))+-10.5)+-0.4</f>
        <v>-52.204234419999992</v>
      </c>
      <c r="F486" s="4">
        <f>((-0.42314285*(1.3/1.5))*0.6)-0.3</f>
        <v>-0.52003428200000001</v>
      </c>
    </row>
    <row r="487" spans="1:6" x14ac:dyDescent="0.4">
      <c r="A487" s="4">
        <v>424.63862499999999</v>
      </c>
      <c r="B487" s="4">
        <v>1.0629715</v>
      </c>
      <c r="C487" s="4">
        <v>1.0383663000000001</v>
      </c>
      <c r="D487" s="4">
        <v>-30.364124</v>
      </c>
      <c r="E487" s="4">
        <f>((-45.7635843/(10/9))+-10.5)+-0.4</f>
        <v>-52.087225869999997</v>
      </c>
      <c r="F487" s="4">
        <f>((-0.42331788*(1.3/1.5))*0.6)-0.3</f>
        <v>-0.52012529759999993</v>
      </c>
    </row>
    <row r="488" spans="1:6" x14ac:dyDescent="0.4">
      <c r="A488" s="4">
        <v>425.51355000000001</v>
      </c>
      <c r="B488" s="4">
        <v>1.0628679999999999</v>
      </c>
      <c r="C488" s="4">
        <v>1.0381621000000001</v>
      </c>
      <c r="D488" s="4">
        <v>-30.362973</v>
      </c>
      <c r="E488" s="4">
        <f>((-45.8847153/(10/9))+-10.5)+-0.4</f>
        <v>-52.196243770000002</v>
      </c>
      <c r="F488" s="4">
        <f>((-0.42345148*(1.3/1.5))*0.6)-0.3</f>
        <v>-0.5201947696</v>
      </c>
    </row>
    <row r="489" spans="1:6" x14ac:dyDescent="0.4">
      <c r="A489" s="4">
        <v>426.38847499999997</v>
      </c>
      <c r="B489" s="4">
        <v>1.0628937000000001</v>
      </c>
      <c r="C489" s="4">
        <v>1.0381984</v>
      </c>
      <c r="D489" s="4">
        <v>-30.361639999999998</v>
      </c>
      <c r="E489" s="4">
        <f>((-45.8541972/(10/9))+-10.5)+-0.4</f>
        <v>-52.168777479999996</v>
      </c>
      <c r="F489" s="4">
        <f>((-0.42359832*(1.3/1.5))*0.6)-0.3</f>
        <v>-0.52027112639999995</v>
      </c>
    </row>
    <row r="490" spans="1:6" x14ac:dyDescent="0.4">
      <c r="A490" s="4">
        <v>427.26340000000005</v>
      </c>
      <c r="B490" s="4">
        <v>1.0628004</v>
      </c>
      <c r="C490" s="4">
        <v>1.0381975999999999</v>
      </c>
      <c r="D490" s="4">
        <v>-30.360548999999999</v>
      </c>
      <c r="E490" s="4">
        <f>((-45.9156249/(10/9))+-10.5)+-0.4</f>
        <v>-52.224062409999995</v>
      </c>
      <c r="F490" s="4">
        <f>((-0.42375532*(1.3/1.5))*0.6)-0.3</f>
        <v>-0.52035276639999994</v>
      </c>
    </row>
    <row r="491" spans="1:6" x14ac:dyDescent="0.4">
      <c r="A491" s="4">
        <v>428.13832500000001</v>
      </c>
      <c r="B491" s="4">
        <v>1.0625188000000001</v>
      </c>
      <c r="C491" s="4">
        <v>1.0380487</v>
      </c>
      <c r="D491" s="4">
        <v>-30.359038999999999</v>
      </c>
      <c r="E491" s="4">
        <f>((-45.8609913/(10/9))+-10.5)+-0.4</f>
        <v>-52.17489217</v>
      </c>
      <c r="F491" s="4">
        <f>((-0.42391977*(1.3/1.5))*0.6)-0.3</f>
        <v>-0.52043828039999995</v>
      </c>
    </row>
    <row r="492" spans="1:6" x14ac:dyDescent="0.4">
      <c r="A492" s="4">
        <v>429.01325000000003</v>
      </c>
      <c r="B492" s="4">
        <v>1.0624762999999999</v>
      </c>
      <c r="C492" s="4">
        <v>1.0378782</v>
      </c>
      <c r="D492" s="4">
        <v>-30.357609999999998</v>
      </c>
      <c r="E492" s="4">
        <f>((-45.8411337/(10/9))+-10.5)+-0.4</f>
        <v>-52.157020329999995</v>
      </c>
      <c r="F492" s="4">
        <f>((-0.42399588*(1.3/1.5))*0.6)-0.3</f>
        <v>-0.52047785759999998</v>
      </c>
    </row>
    <row r="493" spans="1:6" x14ac:dyDescent="0.4">
      <c r="A493" s="4">
        <v>429.88817499999999</v>
      </c>
      <c r="B493" s="4">
        <v>1.0626800999999999</v>
      </c>
      <c r="C493" s="4">
        <v>1.0381368</v>
      </c>
      <c r="D493" s="4">
        <v>-30.3565</v>
      </c>
      <c r="E493" s="4">
        <f>((-45.6853203/(10/9))+-10.5)+-0.4</f>
        <v>-52.016788269999999</v>
      </c>
      <c r="F493" s="4">
        <f>((-0.42415473*(1.3/1.5))*0.6)-0.3</f>
        <v>-0.52056045959999997</v>
      </c>
    </row>
    <row r="494" spans="1:6" x14ac:dyDescent="0.4">
      <c r="A494" s="4">
        <v>430.76309999999995</v>
      </c>
      <c r="B494" s="4">
        <v>1.0627378000000001</v>
      </c>
      <c r="C494" s="4">
        <v>1.0380507000000001</v>
      </c>
      <c r="D494" s="4">
        <v>-30.355104000000001</v>
      </c>
      <c r="E494" s="4">
        <f>((-45.8065305/(10/9))+-10.5)+-0.4</f>
        <v>-52.125877449999997</v>
      </c>
      <c r="F494" s="4">
        <f>((-0.42432177*(1.3/1.5))*0.6)-0.3</f>
        <v>-0.52064732039999995</v>
      </c>
    </row>
    <row r="495" spans="1:6" x14ac:dyDescent="0.4">
      <c r="A495" s="4">
        <v>431.63802500000003</v>
      </c>
      <c r="B495" s="4">
        <v>1.0625245999999999</v>
      </c>
      <c r="C495" s="4">
        <v>1.0379381000000001</v>
      </c>
      <c r="D495" s="4">
        <v>-30.353590999999998</v>
      </c>
      <c r="E495" s="4">
        <f>((-45.7281873/(10/9))+-10.5)+-0.4</f>
        <v>-52.055368569999999</v>
      </c>
      <c r="F495" s="4">
        <f>((-0.42454988*(1.3/1.5))*0.6)-0.3</f>
        <v>-0.52076593760000001</v>
      </c>
    </row>
    <row r="496" spans="1:6" x14ac:dyDescent="0.4">
      <c r="A496" s="4">
        <v>432.51294999999999</v>
      </c>
      <c r="B496" s="4">
        <v>1.0624477000000001</v>
      </c>
      <c r="C496" s="4">
        <v>1.0378745</v>
      </c>
      <c r="D496" s="4">
        <v>-30.352027</v>
      </c>
      <c r="E496" s="4">
        <f>((-45.7939854/(10/9))+-10.5)+-0.4</f>
        <v>-52.114586859999996</v>
      </c>
      <c r="F496" s="4">
        <f>((-0.42472431*(1.3/1.5))*0.6)-0.3</f>
        <v>-0.52085664119999997</v>
      </c>
    </row>
    <row r="497" spans="1:6" x14ac:dyDescent="0.4">
      <c r="A497" s="4">
        <v>433.38787500000001</v>
      </c>
      <c r="B497" s="4">
        <v>1.0625783</v>
      </c>
      <c r="C497" s="4">
        <v>1.0379602999999999</v>
      </c>
      <c r="D497" s="4">
        <v>-30.350296999999998</v>
      </c>
      <c r="E497" s="4">
        <f>((-45.8299179/(10/9))+-10.5)+-0.4</f>
        <v>-52.146926109999995</v>
      </c>
      <c r="F497" s="4">
        <f>((-0.42481834*(1.3/1.5))*0.6)-0.3</f>
        <v>-0.52090553679999996</v>
      </c>
    </row>
    <row r="498" spans="1:6" x14ac:dyDescent="0.4">
      <c r="A498" s="4">
        <v>434.26279999999997</v>
      </c>
      <c r="B498" s="4">
        <v>1.0626196000000001</v>
      </c>
      <c r="C498" s="4">
        <v>1.0379246</v>
      </c>
      <c r="D498" s="4">
        <v>-30.348592</v>
      </c>
      <c r="E498" s="4">
        <f>((-45.676593/(10/9))+-10.5)+-0.4</f>
        <v>-52.008933699999993</v>
      </c>
      <c r="F498" s="4">
        <f>((-0.4248502*(1.3/1.5))*0.6)-0.3</f>
        <v>-0.52092210400000005</v>
      </c>
    </row>
    <row r="499" spans="1:6" x14ac:dyDescent="0.4">
      <c r="A499" s="4">
        <v>435.13772499999999</v>
      </c>
      <c r="B499" s="4">
        <v>1.0625551</v>
      </c>
      <c r="C499" s="4">
        <v>1.0379071</v>
      </c>
      <c r="D499" s="4">
        <v>-30.347094999999999</v>
      </c>
      <c r="E499" s="4">
        <f>((-45.6395418/(10/9))+-10.5)+-0.4</f>
        <v>-51.975587619999999</v>
      </c>
      <c r="F499" s="4">
        <f>((-0.4250195*(1.3/1.5))*0.6)-0.3</f>
        <v>-0.52101014000000001</v>
      </c>
    </row>
    <row r="500" spans="1:6" x14ac:dyDescent="0.4">
      <c r="A500" s="4">
        <v>436.01265000000001</v>
      </c>
      <c r="B500" s="4">
        <v>1.0622221000000001</v>
      </c>
      <c r="C500" s="4">
        <v>1.0379102</v>
      </c>
      <c r="D500" s="4">
        <v>-30.345782</v>
      </c>
      <c r="E500" s="4">
        <f>((-45.7459479/(10/9))+-10.5)+-0.4</f>
        <v>-52.071353109999997</v>
      </c>
      <c r="F500" s="4">
        <f>((-0.42514178*(1.3/1.5))*0.6)-0.3</f>
        <v>-0.52107372559999998</v>
      </c>
    </row>
    <row r="501" spans="1:6" x14ac:dyDescent="0.4">
      <c r="A501" s="4">
        <v>436.88757500000003</v>
      </c>
      <c r="B501" s="4">
        <v>1.0624218999999999</v>
      </c>
      <c r="C501" s="4">
        <v>1.0377516</v>
      </c>
      <c r="D501" s="4">
        <v>-30.344373000000001</v>
      </c>
      <c r="E501" s="4">
        <f>((-45.7898589/(10/9))+-10.5)+-0.4</f>
        <v>-52.110873009999999</v>
      </c>
      <c r="F501" s="4">
        <f>((-0.42531517*(1.3/1.5))*0.6)-0.3</f>
        <v>-0.52116388840000005</v>
      </c>
    </row>
    <row r="502" spans="1:6" x14ac:dyDescent="0.4">
      <c r="A502" s="4">
        <v>437.76249999999999</v>
      </c>
      <c r="B502" s="4">
        <v>1.0622107999999999</v>
      </c>
      <c r="C502" s="4">
        <v>1.0376121</v>
      </c>
      <c r="D502" s="4">
        <v>-30.342544</v>
      </c>
      <c r="E502" s="4">
        <f>((-45.5557536/(10/9))+-10.5)+-0.4</f>
        <v>-51.900178240000002</v>
      </c>
      <c r="F502" s="4">
        <f>((-0.4254894*(1.3/1.5))*0.6)-0.3</f>
        <v>-0.52125448799999996</v>
      </c>
    </row>
    <row r="503" spans="1:6" x14ac:dyDescent="0.4">
      <c r="A503" s="4">
        <v>438.63742500000001</v>
      </c>
      <c r="B503" s="4">
        <v>1.0620643000000001</v>
      </c>
      <c r="C503" s="4">
        <v>1.0377692000000001</v>
      </c>
      <c r="D503" s="4">
        <v>-30.340624999999999</v>
      </c>
      <c r="E503" s="4">
        <f>((-45.7546644/(10/9))+-10.5)+-0.4</f>
        <v>-52.079197960000002</v>
      </c>
      <c r="F503" s="4">
        <f>((-0.42558673*(1.3/1.5))*0.6)-0.3</f>
        <v>-0.52130509960000004</v>
      </c>
    </row>
    <row r="504" spans="1:6" x14ac:dyDescent="0.4">
      <c r="A504" s="4">
        <v>439.51234999999997</v>
      </c>
      <c r="B504" s="4">
        <v>1.0621913999999999</v>
      </c>
      <c r="C504" s="4">
        <v>1.0377788999999999</v>
      </c>
      <c r="D504" s="4">
        <v>-30.339050999999998</v>
      </c>
      <c r="E504" s="4">
        <f>((-45.6285348/(10/9))+-10.5)+-0.4</f>
        <v>-51.965681319999995</v>
      </c>
      <c r="F504" s="4">
        <f>((-0.42567855*(1.3/1.5))*0.6)-0.3</f>
        <v>-0.52135284599999998</v>
      </c>
    </row>
    <row r="505" spans="1:6" x14ac:dyDescent="0.4">
      <c r="A505" s="4">
        <v>440.38727500000005</v>
      </c>
      <c r="B505" s="4">
        <v>1.0622345</v>
      </c>
      <c r="C505" s="4">
        <v>1.0376892</v>
      </c>
      <c r="D505" s="4">
        <v>-30.337471999999998</v>
      </c>
      <c r="E505" s="4">
        <f>((-45.5801913/(10/9))+-10.5)+-0.4</f>
        <v>-51.922172169999996</v>
      </c>
      <c r="F505" s="4">
        <f>((-0.42584443*(1.3/1.5))*0.6)-0.3</f>
        <v>-0.52143910360000001</v>
      </c>
    </row>
    <row r="506" spans="1:6" x14ac:dyDescent="0.4">
      <c r="A506" s="4">
        <v>441.26220000000001</v>
      </c>
      <c r="B506" s="4">
        <v>1.0620779</v>
      </c>
      <c r="C506" s="4">
        <v>1.0376658000000001</v>
      </c>
      <c r="D506" s="4">
        <v>-30.335483</v>
      </c>
      <c r="E506" s="4">
        <f>((-45.6103215/(10/9))+-10.5)+-0.4</f>
        <v>-51.949289349999994</v>
      </c>
      <c r="F506" s="4">
        <f>((-0.42598066*(1.3/1.5))*0.6)-0.3</f>
        <v>-0.52150994319999999</v>
      </c>
    </row>
    <row r="507" spans="1:6" x14ac:dyDescent="0.4">
      <c r="A507" s="4">
        <v>442.13712500000003</v>
      </c>
      <c r="B507" s="4">
        <v>1.0618947999999999</v>
      </c>
      <c r="C507" s="4">
        <v>1.0376098</v>
      </c>
      <c r="D507" s="4">
        <v>-30.333776</v>
      </c>
      <c r="E507" s="4">
        <f>((-45.7214004/(10/9))+-10.5)+-0.4</f>
        <v>-52.049260359999998</v>
      </c>
      <c r="F507" s="4">
        <f>((-0.42613679*(1.3/1.5))*0.6)-0.3</f>
        <v>-0.52159113079999997</v>
      </c>
    </row>
    <row r="508" spans="1:6" x14ac:dyDescent="0.4">
      <c r="A508" s="4">
        <v>443.01204999999999</v>
      </c>
      <c r="B508" s="4">
        <v>1.0621476999999999</v>
      </c>
      <c r="C508" s="4">
        <v>1.0375451</v>
      </c>
      <c r="D508" s="4">
        <v>-30.332221000000001</v>
      </c>
      <c r="E508" s="4">
        <f>((-45.5316795/(10/9))+-10.5)+-0.4</f>
        <v>-51.878511549999999</v>
      </c>
      <c r="F508" s="4">
        <f>((-0.42630023*(1.3/1.5))*0.6)-0.3</f>
        <v>-0.52167611959999993</v>
      </c>
    </row>
    <row r="509" spans="1:6" x14ac:dyDescent="0.4">
      <c r="A509" s="4">
        <v>443.88697499999995</v>
      </c>
      <c r="B509" s="4">
        <v>1.0619524</v>
      </c>
      <c r="C509" s="4">
        <v>1.0376167000000001</v>
      </c>
      <c r="D509" s="4">
        <v>-30.330439999999999</v>
      </c>
      <c r="E509" s="4">
        <f>((-45.4373694/(10/9))+-10.5)+-0.4</f>
        <v>-51.793632459999998</v>
      </c>
      <c r="F509" s="4">
        <f>((-0.42646506*(1.3/1.5))*0.6)-0.3</f>
        <v>-0.52176183119999997</v>
      </c>
    </row>
    <row r="510" spans="1:6" x14ac:dyDescent="0.4">
      <c r="A510" s="4">
        <v>444.76190000000003</v>
      </c>
      <c r="B510" s="4">
        <v>1.0620084000000001</v>
      </c>
      <c r="C510" s="4">
        <v>1.0376015999999999</v>
      </c>
      <c r="D510" s="4">
        <v>-30.328931000000001</v>
      </c>
      <c r="E510" s="4">
        <f>((-45.6143868/(10/9))+-10.5)+-0.4</f>
        <v>-51.952948119999995</v>
      </c>
      <c r="F510" s="4">
        <f>((-0.42651722*(1.3/1.5))*0.6)-0.3</f>
        <v>-0.52178895439999995</v>
      </c>
    </row>
    <row r="511" spans="1:6" x14ac:dyDescent="0.4">
      <c r="A511" s="4">
        <v>445.63682499999999</v>
      </c>
      <c r="B511" s="4">
        <v>1.0618601000000001</v>
      </c>
      <c r="C511" s="4">
        <v>1.0374582000000001</v>
      </c>
      <c r="D511" s="4">
        <v>-30.32743</v>
      </c>
      <c r="E511" s="4">
        <f>((-45.4451418/(10/9))+-10.5)+-0.4</f>
        <v>-51.80062762</v>
      </c>
      <c r="F511" s="4">
        <f>((-0.42661265*(1.3/1.5))*0.6)-0.3</f>
        <v>-0.521838578</v>
      </c>
    </row>
    <row r="512" spans="1:6" x14ac:dyDescent="0.4">
      <c r="A512" s="4">
        <v>446.51175000000001</v>
      </c>
      <c r="B512" s="4">
        <v>1.0618448</v>
      </c>
      <c r="C512" s="4">
        <v>1.0375166</v>
      </c>
      <c r="D512" s="4">
        <v>-30.325800999999998</v>
      </c>
      <c r="E512" s="4">
        <f>((-45.3379329/(10/9))+-10.5)+-0.4</f>
        <v>-51.704139609999999</v>
      </c>
      <c r="F512" s="4">
        <f>((-0.42682391*(1.3/1.5))*0.6)-0.3</f>
        <v>-0.52194843319999995</v>
      </c>
    </row>
    <row r="513" spans="1:6" x14ac:dyDescent="0.4">
      <c r="A513" s="4">
        <v>447.38667499999997</v>
      </c>
      <c r="B513" s="4">
        <v>1.0616002</v>
      </c>
      <c r="C513" s="4">
        <v>1.0374355</v>
      </c>
      <c r="D513" s="4">
        <v>-30.324314999999999</v>
      </c>
      <c r="E513" s="4">
        <f>((-45.4523445/(10/9))+-10.5)+-0.4</f>
        <v>-51.807110049999999</v>
      </c>
      <c r="F513" s="4">
        <f>((-0.42699909*(1.3/1.5))*0.6)-0.3</f>
        <v>-0.52203952679999999</v>
      </c>
    </row>
    <row r="514" spans="1:6" x14ac:dyDescent="0.4">
      <c r="A514" s="4">
        <v>448.26159999999999</v>
      </c>
      <c r="B514" s="4">
        <v>1.0616757999999999</v>
      </c>
      <c r="C514" s="4">
        <v>1.0375018</v>
      </c>
      <c r="D514" s="4">
        <v>-30.323074999999999</v>
      </c>
      <c r="E514" s="4">
        <f>((-45.517734/(10/9))+-10.5)+-0.4</f>
        <v>-51.865960599999994</v>
      </c>
      <c r="F514" s="4">
        <f>((-0.42719257*(1.3/1.5))*0.6)-0.3</f>
        <v>-0.52214013640000001</v>
      </c>
    </row>
    <row r="515" spans="1:6" x14ac:dyDescent="0.4">
      <c r="A515" s="4">
        <v>449.13652500000001</v>
      </c>
      <c r="B515" s="4">
        <v>1.0615796</v>
      </c>
      <c r="C515" s="4">
        <v>1.0372077</v>
      </c>
      <c r="D515" s="4">
        <v>-30.321382</v>
      </c>
      <c r="E515" s="4">
        <f>((-45.454635/(10/9))+-10.5)+-0.4</f>
        <v>-51.809171499999998</v>
      </c>
      <c r="F515" s="4">
        <f>((-0.42735523*(1.3/1.5))*0.6)-0.3</f>
        <v>-0.52222471959999994</v>
      </c>
    </row>
    <row r="516" spans="1:6" x14ac:dyDescent="0.4">
      <c r="A516" s="4">
        <v>450.01145000000002</v>
      </c>
      <c r="B516" s="4">
        <v>1.0615143</v>
      </c>
      <c r="C516" s="4">
        <v>1.0374289000000001</v>
      </c>
      <c r="D516" s="4">
        <v>-30.319965</v>
      </c>
      <c r="E516" s="4">
        <f>((-45.4495365/(10/9))+-10.5)+-0.4</f>
        <v>-51.804582849999996</v>
      </c>
      <c r="F516" s="4">
        <f>((-0.42753223*(1.3/1.5))*0.6)-0.3</f>
        <v>-0.52231675960000001</v>
      </c>
    </row>
    <row r="517" spans="1:6" x14ac:dyDescent="0.4">
      <c r="A517" s="4">
        <v>450.88637499999999</v>
      </c>
      <c r="B517" s="4">
        <v>1.0617782</v>
      </c>
      <c r="C517" s="4">
        <v>1.0374848000000001</v>
      </c>
      <c r="D517" s="4">
        <v>-30.318469</v>
      </c>
      <c r="E517" s="4">
        <f>((-45.3234474/(10/9))+-10.5)+-0.4</f>
        <v>-51.691102659999999</v>
      </c>
      <c r="F517" s="4">
        <f>((-0.42772892*(1.3/1.5))*0.6)-0.3</f>
        <v>-0.52241903840000004</v>
      </c>
    </row>
    <row r="518" spans="1:6" x14ac:dyDescent="0.4">
      <c r="A518" s="4">
        <v>451.76130000000001</v>
      </c>
      <c r="B518" s="4">
        <v>1.0616106999999999</v>
      </c>
      <c r="C518" s="4">
        <v>1.0374246</v>
      </c>
      <c r="D518" s="4">
        <v>-30.317052</v>
      </c>
      <c r="E518" s="4">
        <f>((-45.3151116/(10/9))+-10.5)+-0.4</f>
        <v>-51.683600439999999</v>
      </c>
      <c r="F518" s="4">
        <f>((-0.42789072*(1.3/1.5))*0.6)-0.3</f>
        <v>-0.52250317439999994</v>
      </c>
    </row>
    <row r="519" spans="1:6" x14ac:dyDescent="0.4">
      <c r="A519" s="4">
        <v>452.63622499999997</v>
      </c>
      <c r="B519" s="4">
        <v>1.0614117000000001</v>
      </c>
      <c r="C519" s="4">
        <v>1.0373817999999999</v>
      </c>
      <c r="D519" s="4">
        <v>-30.315721</v>
      </c>
      <c r="E519" s="4">
        <f>((-45.4129659/(10/9))+-10.5)+-0.4</f>
        <v>-51.77166931</v>
      </c>
      <c r="F519" s="4">
        <f>((-0.42809689*(1.3/1.5))*0.6)-0.3</f>
        <v>-0.52261038279999994</v>
      </c>
    </row>
    <row r="520" spans="1:6" x14ac:dyDescent="0.4">
      <c r="A520" s="4">
        <v>453.51115000000004</v>
      </c>
      <c r="B520" s="4">
        <v>1.0614060000000001</v>
      </c>
      <c r="C520" s="4">
        <v>1.0371281999999999</v>
      </c>
      <c r="D520" s="4">
        <v>-30.314239000000001</v>
      </c>
      <c r="E520" s="4">
        <f>((-45.4361679/(10/9))+-10.5)+-0.4</f>
        <v>-51.792551109999998</v>
      </c>
      <c r="F520" s="4">
        <f>((-0.42829087*(1.3/1.5))*0.6)-0.3</f>
        <v>-0.52271125239999994</v>
      </c>
    </row>
    <row r="521" spans="1:6" x14ac:dyDescent="0.4">
      <c r="A521" s="4">
        <v>454.38607500000001</v>
      </c>
      <c r="B521" s="4">
        <v>1.0613030999999999</v>
      </c>
      <c r="C521" s="4">
        <v>1.0371220000000001</v>
      </c>
      <c r="D521" s="4">
        <v>-30.313034999999999</v>
      </c>
      <c r="E521" s="4">
        <f>((-45.3738987/(10/9))+-10.5)+-0.4</f>
        <v>-51.736508829999998</v>
      </c>
      <c r="F521" s="4">
        <f>((-0.42851627*(1.3/1.5))*0.6)-0.3</f>
        <v>-0.52282846039999997</v>
      </c>
    </row>
    <row r="522" spans="1:6" x14ac:dyDescent="0.4">
      <c r="A522" s="4">
        <v>455.26100000000002</v>
      </c>
      <c r="B522" s="4">
        <v>1.0614056999999999</v>
      </c>
      <c r="C522" s="4">
        <v>1.0371211</v>
      </c>
      <c r="D522" s="4">
        <v>-30.311906</v>
      </c>
      <c r="E522" s="4">
        <f>((-45.3307707/(10/9))+-10.5)+-0.4</f>
        <v>-51.697693629999996</v>
      </c>
      <c r="F522" s="4">
        <f>((-0.42868072*(1.3/1.5))*0.6)-0.3</f>
        <v>-0.52291397439999998</v>
      </c>
    </row>
    <row r="523" spans="1:6" x14ac:dyDescent="0.4">
      <c r="A523" s="4">
        <v>456.13592499999999</v>
      </c>
      <c r="B523" s="4">
        <v>1.0615482000000001</v>
      </c>
      <c r="C523" s="4">
        <v>1.0371835</v>
      </c>
      <c r="D523" s="4">
        <v>-30.310247</v>
      </c>
      <c r="E523" s="4">
        <f>((-45.3693195/(10/9))+-10.5)+-0.4</f>
        <v>-51.732387549999999</v>
      </c>
      <c r="F523" s="4">
        <f>((-0.42883042*(1.3/1.5))*0.6)-0.3</f>
        <v>-0.52299181839999997</v>
      </c>
    </row>
    <row r="524" spans="1:6" x14ac:dyDescent="0.4">
      <c r="A524" s="4">
        <v>457.01085</v>
      </c>
      <c r="B524" s="4">
        <v>1.0614555000000001</v>
      </c>
      <c r="C524" s="4">
        <v>1.0373086</v>
      </c>
      <c r="D524" s="4">
        <v>-30.309085</v>
      </c>
      <c r="E524" s="4">
        <f>((-45.3360267/(10/9))+-10.5)+-0.4</f>
        <v>-51.702424029999996</v>
      </c>
      <c r="F524" s="4">
        <f>((-0.42892236*(1.3/1.5))*0.6)-0.3</f>
        <v>-0.52303962719999997</v>
      </c>
    </row>
    <row r="525" spans="1:6" x14ac:dyDescent="0.4">
      <c r="A525" s="4">
        <v>457.88577500000002</v>
      </c>
      <c r="B525" s="4">
        <v>1.0613621</v>
      </c>
      <c r="C525" s="4">
        <v>1.0371509999999999</v>
      </c>
      <c r="D525" s="4">
        <v>-30.307984999999999</v>
      </c>
      <c r="E525" s="4">
        <f>((-45.2033361/(10/9))+-10.5)+-0.4</f>
        <v>-51.583002489999998</v>
      </c>
      <c r="F525" s="4">
        <f>((-0.42910761*(1.3/1.5))*0.6)-0.3</f>
        <v>-0.52313595719999995</v>
      </c>
    </row>
    <row r="526" spans="1:6" x14ac:dyDescent="0.4">
      <c r="A526" s="4">
        <v>458.76069999999999</v>
      </c>
      <c r="B526" s="4">
        <v>1.0611291</v>
      </c>
      <c r="C526" s="4">
        <v>1.0370219000000001</v>
      </c>
      <c r="D526" s="4">
        <v>-30.307012</v>
      </c>
      <c r="E526" s="4">
        <f>((-45.1885356/(10/9))+-10.5)+-0.4</f>
        <v>-51.569682039999996</v>
      </c>
      <c r="F526" s="4">
        <f>((-0.4292362*(1.3/1.5))*0.6)-0.3</f>
        <v>-0.52320282399999996</v>
      </c>
    </row>
    <row r="527" spans="1:6" x14ac:dyDescent="0.4">
      <c r="A527" s="4">
        <v>459.635625</v>
      </c>
      <c r="B527" s="4">
        <v>1.0610866999999999</v>
      </c>
      <c r="C527" s="4">
        <v>1.0370455000000001</v>
      </c>
      <c r="D527" s="4">
        <v>-30.305882999999998</v>
      </c>
      <c r="E527" s="4">
        <f>((-45.2589543/(10/9))+-10.5)+-0.4</f>
        <v>-51.633058869999999</v>
      </c>
      <c r="F527" s="4">
        <f>((-0.42931452*(1.3/1.5))*0.6)-0.3</f>
        <v>-0.52324355039999992</v>
      </c>
    </row>
    <row r="528" spans="1:6" x14ac:dyDescent="0.4">
      <c r="A528" s="4">
        <v>460.51054999999997</v>
      </c>
      <c r="B528" s="4">
        <v>1.0609192000000001</v>
      </c>
      <c r="C528" s="4">
        <v>1.0368265999999999</v>
      </c>
      <c r="D528" s="4">
        <v>-30.304527</v>
      </c>
      <c r="E528" s="4">
        <f>((-45.3748671/(10/9))+-10.5)+-0.4</f>
        <v>-51.737380389999998</v>
      </c>
      <c r="F528" s="4">
        <f>((-0.42946106*(1.3/1.5))*0.6)-0.3</f>
        <v>-0.52331975119999996</v>
      </c>
    </row>
    <row r="529" spans="1:6" x14ac:dyDescent="0.4">
      <c r="A529" s="4">
        <v>461.38547499999999</v>
      </c>
      <c r="B529" s="4">
        <v>1.0608409999999999</v>
      </c>
      <c r="C529" s="4">
        <v>1.0369035</v>
      </c>
      <c r="D529" s="4">
        <v>-30.303370999999999</v>
      </c>
      <c r="E529" s="4">
        <f>((-45.2388528/(10/9))+-10.5)+-0.4</f>
        <v>-51.614967519999993</v>
      </c>
      <c r="F529" s="4">
        <f>((-0.42964444*(1.3/1.5))*0.6)-0.3</f>
        <v>-0.52341510879999997</v>
      </c>
    </row>
    <row r="530" spans="1:6" x14ac:dyDescent="0.4">
      <c r="A530" s="4">
        <v>462.2604</v>
      </c>
      <c r="B530" s="4">
        <v>1.0611413999999999</v>
      </c>
      <c r="C530" s="4">
        <v>1.036902</v>
      </c>
      <c r="D530" s="4">
        <v>-30.302178999999999</v>
      </c>
      <c r="E530" s="4">
        <f>((-45.1952235/(10/9))+-10.5)+-0.4</f>
        <v>-51.575701149999993</v>
      </c>
      <c r="F530" s="4">
        <f>((-0.42982236*(1.3/1.5))*0.6)-0.3</f>
        <v>-0.52350762719999999</v>
      </c>
    </row>
    <row r="531" spans="1:6" x14ac:dyDescent="0.4">
      <c r="A531" s="4">
        <v>463.13532500000002</v>
      </c>
      <c r="B531" s="4">
        <v>1.0609983000000001</v>
      </c>
      <c r="C531" s="4">
        <v>1.0369337999999999</v>
      </c>
      <c r="D531" s="4">
        <v>-30.301337</v>
      </c>
      <c r="E531" s="4">
        <f>((-45.2730411/(10/9))+-10.5)+-0.4</f>
        <v>-51.645736989999996</v>
      </c>
      <c r="F531" s="4">
        <f>((-0.430051*(1.3/1.5))*0.6)-0.3</f>
        <v>-0.52362651999999998</v>
      </c>
    </row>
    <row r="532" spans="1:6" x14ac:dyDescent="0.4">
      <c r="A532" s="4">
        <v>464.01024999999998</v>
      </c>
      <c r="B532" s="4">
        <v>1.0609161</v>
      </c>
      <c r="C532" s="4">
        <v>1.0368345000000001</v>
      </c>
      <c r="D532" s="4">
        <v>-30.300252</v>
      </c>
      <c r="E532" s="4">
        <f>((-45.1483362/(10/9))+-10.5)+-0.4</f>
        <v>-51.533502579999997</v>
      </c>
      <c r="F532" s="4">
        <f>((-0.43016186*(1.3/1.5))*0.6)-0.3</f>
        <v>-0.52368416719999999</v>
      </c>
    </row>
    <row r="533" spans="1:6" x14ac:dyDescent="0.4">
      <c r="A533" s="4">
        <v>464.885175</v>
      </c>
      <c r="B533" s="4">
        <v>1.0609489999999999</v>
      </c>
      <c r="C533" s="4">
        <v>1.0368325</v>
      </c>
      <c r="D533" s="4">
        <v>-30.298918999999998</v>
      </c>
      <c r="E533" s="4">
        <f>((-45.0578052/(10/9))+-10.5)+-0.4</f>
        <v>-51.452024679999994</v>
      </c>
      <c r="F533" s="4">
        <f>((-0.43026102*(1.3/1.5))*0.6)-0.3</f>
        <v>-0.52373573039999999</v>
      </c>
    </row>
    <row r="534" spans="1:6" x14ac:dyDescent="0.4">
      <c r="A534" s="4">
        <v>465.76009999999997</v>
      </c>
      <c r="B534" s="4">
        <v>1.0609994</v>
      </c>
      <c r="C534" s="4">
        <v>1.0369345999999999</v>
      </c>
      <c r="D534" s="4">
        <v>-30.297857</v>
      </c>
      <c r="E534" s="4">
        <f>((-45.2225178/(10/9))+-10.5)+-0.4</f>
        <v>-51.600266019999992</v>
      </c>
      <c r="F534" s="4">
        <f>((-0.43040094*(1.3/1.5))*0.6)-0.3</f>
        <v>-0.52380848879999997</v>
      </c>
    </row>
    <row r="535" spans="1:6" x14ac:dyDescent="0.4">
      <c r="A535" s="4">
        <v>466.63502500000004</v>
      </c>
      <c r="B535" s="4">
        <v>1.0609225</v>
      </c>
      <c r="C535" s="4">
        <v>1.0369805999999999</v>
      </c>
      <c r="D535" s="4">
        <v>-30.296855000000001</v>
      </c>
      <c r="E535" s="4">
        <f>((-45.0278469/(10/9))+-10.5)+-0.4</f>
        <v>-51.42506221</v>
      </c>
      <c r="F535" s="4">
        <f>((-0.43047076*(1.3/1.5))*0.6)-0.3</f>
        <v>-0.52384479520000005</v>
      </c>
    </row>
    <row r="536" spans="1:6" x14ac:dyDescent="0.4">
      <c r="A536" s="4">
        <v>467.50995</v>
      </c>
      <c r="B536" s="4">
        <v>1.0608162000000001</v>
      </c>
      <c r="C536" s="4">
        <v>1.0367055000000001</v>
      </c>
      <c r="D536" s="4">
        <v>-30.296040999999999</v>
      </c>
      <c r="E536" s="4">
        <f>((-45.2959308/(10/9))+-10.5)+-0.4</f>
        <v>-51.666337719999994</v>
      </c>
      <c r="F536" s="4">
        <f>((-0.43061131*(1.3/1.5))*0.6)-0.3</f>
        <v>-0.52391788120000005</v>
      </c>
    </row>
    <row r="537" spans="1:6" x14ac:dyDescent="0.4">
      <c r="A537" s="4">
        <v>468.38487500000002</v>
      </c>
      <c r="B537" s="4">
        <v>1.0608462999999999</v>
      </c>
      <c r="C537" s="4">
        <v>1.0367141</v>
      </c>
      <c r="D537" s="4">
        <v>-30.295200999999999</v>
      </c>
      <c r="E537" s="4">
        <f>((-45.1756062/(10/9))+-10.5)+-0.4</f>
        <v>-51.558045579999991</v>
      </c>
      <c r="F537" s="4">
        <f>((-0.43080857*(1.3/1.5))*0.6)-0.3</f>
        <v>-0.52402045639999995</v>
      </c>
    </row>
    <row r="538" spans="1:6" x14ac:dyDescent="0.4">
      <c r="A538" s="4">
        <v>469.25979999999998</v>
      </c>
      <c r="B538" s="4">
        <v>1.0610442</v>
      </c>
      <c r="C538" s="4">
        <v>1.0366366</v>
      </c>
      <c r="D538" s="4">
        <v>-30.294311</v>
      </c>
      <c r="E538" s="4">
        <f>((-45.2113911/(10/9))+-10.5)+-0.4</f>
        <v>-51.590251989999999</v>
      </c>
      <c r="F538" s="4">
        <f>((-0.43099919*(1.3/1.5))*0.6)-0.3</f>
        <v>-0.52411957879999993</v>
      </c>
    </row>
    <row r="539" spans="1:6" x14ac:dyDescent="0.4">
      <c r="A539" s="4">
        <v>470.134725</v>
      </c>
      <c r="B539" s="4">
        <v>1.0610044999999999</v>
      </c>
      <c r="C539" s="4">
        <v>1.0366963</v>
      </c>
      <c r="D539" s="4">
        <v>-30.293558999999998</v>
      </c>
      <c r="E539" s="4">
        <f>((-45.0351594/(10/9))+-10.5)+-0.4</f>
        <v>-51.431643459999997</v>
      </c>
      <c r="F539" s="4">
        <f>((-0.4311808*(1.3/1.5))*0.6)-0.3</f>
        <v>-0.52421401599999995</v>
      </c>
    </row>
    <row r="540" spans="1:6" x14ac:dyDescent="0.4">
      <c r="A540" s="4">
        <v>471.00965000000002</v>
      </c>
      <c r="B540" s="4">
        <v>1.0609682</v>
      </c>
      <c r="C540" s="4">
        <v>1.0367781</v>
      </c>
      <c r="D540" s="4">
        <v>-30.292596</v>
      </c>
      <c r="E540" s="4">
        <f>((-45.071064/(10/9))+-10.5)+-0.4</f>
        <v>-51.463957599999993</v>
      </c>
      <c r="F540" s="4">
        <f>((-0.43130168*(1.3/1.5))*0.6)-0.3</f>
        <v>-0.52427687359999997</v>
      </c>
    </row>
    <row r="541" spans="1:6" x14ac:dyDescent="0.4">
      <c r="A541" s="4">
        <v>471.88457499999998</v>
      </c>
      <c r="B541" s="4">
        <v>1.0609713000000001</v>
      </c>
      <c r="C541" s="4">
        <v>1.036745</v>
      </c>
      <c r="D541" s="4">
        <v>-30.291339000000001</v>
      </c>
      <c r="E541" s="4">
        <f>((-45.1490463/(10/9))+-10.5)+-0.4</f>
        <v>-51.534141669999997</v>
      </c>
      <c r="F541" s="4">
        <f>((-0.43141118*(1.3/1.5))*0.6)-0.3</f>
        <v>-0.52433381359999998</v>
      </c>
    </row>
    <row r="542" spans="1:6" x14ac:dyDescent="0.4">
      <c r="A542" s="4">
        <v>472.7595</v>
      </c>
      <c r="B542" s="4">
        <v>1.0607692</v>
      </c>
      <c r="C542" s="4">
        <v>1.0363754000000001</v>
      </c>
      <c r="D542" s="4">
        <v>-30.290595</v>
      </c>
      <c r="E542" s="4">
        <f>((-45.0624474/(10/9))+-10.5)+-0.4</f>
        <v>-51.456202660000002</v>
      </c>
      <c r="F542" s="4">
        <f>((-0.43144459*(1.3/1.5))*0.6)-0.3</f>
        <v>-0.52435118680000004</v>
      </c>
    </row>
    <row r="543" spans="1:6" x14ac:dyDescent="0.4">
      <c r="A543" s="4">
        <v>473.63442499999996</v>
      </c>
      <c r="B543" s="4">
        <v>1.0607051000000001</v>
      </c>
      <c r="C543" s="4">
        <v>1.03633</v>
      </c>
      <c r="D543" s="4">
        <v>-30.289846000000001</v>
      </c>
      <c r="E543" s="4">
        <f>((-45.1643868/(10/9))+-10.5)+-0.4</f>
        <v>-51.547948120000001</v>
      </c>
      <c r="F543" s="4">
        <f>((-0.4315615*(1.3/1.5))*0.6)-0.3</f>
        <v>-0.52441198</v>
      </c>
    </row>
    <row r="544" spans="1:6" x14ac:dyDescent="0.4">
      <c r="A544" s="4">
        <v>474.50934999999998</v>
      </c>
      <c r="B544" s="4">
        <v>1.06057</v>
      </c>
      <c r="C544" s="4">
        <v>1.0363629999999999</v>
      </c>
      <c r="D544" s="4">
        <v>-30.289110999999998</v>
      </c>
      <c r="E544" s="4">
        <f>((-45.0711297/(10/9))+-10.5)+-0.4</f>
        <v>-51.464016729999997</v>
      </c>
      <c r="F544" s="4">
        <f>((-0.43178004*(1.3/1.5))*0.6)-0.3</f>
        <v>-0.52452562079999998</v>
      </c>
    </row>
    <row r="545" spans="1:6" x14ac:dyDescent="0.4">
      <c r="A545" s="4">
        <v>475.384275</v>
      </c>
      <c r="B545" s="4">
        <v>1.0606294999999999</v>
      </c>
      <c r="C545" s="4">
        <v>1.0363637999999999</v>
      </c>
      <c r="D545" s="4">
        <v>-30.288325999999998</v>
      </c>
      <c r="E545" s="4">
        <f>((-45.004374/(10/9))+-10.5)+-0.4</f>
        <v>-51.403936599999994</v>
      </c>
      <c r="F545" s="4">
        <f>((-0.43192869*(1.3/1.5))*0.6)-0.3</f>
        <v>-0.52460291879999998</v>
      </c>
    </row>
    <row r="546" spans="1:6" x14ac:dyDescent="0.4">
      <c r="A546" s="4">
        <v>476.25920000000002</v>
      </c>
      <c r="B546" s="4">
        <v>1.0605222000000001</v>
      </c>
      <c r="C546" s="4">
        <v>1.0364275000000001</v>
      </c>
      <c r="D546" s="4">
        <v>-30.287472999999999</v>
      </c>
      <c r="E546" s="4">
        <f>((-45.1233837/(10/9))+-10.5)+-0.4</f>
        <v>-51.511045329999995</v>
      </c>
      <c r="F546" s="4">
        <f>((-0.43210912*(1.3/1.5))*0.6)-0.3</f>
        <v>-0.52469674239999997</v>
      </c>
    </row>
    <row r="547" spans="1:6" x14ac:dyDescent="0.4">
      <c r="A547" s="4">
        <v>477.13412499999998</v>
      </c>
      <c r="B547" s="4">
        <v>1.0606371000000001</v>
      </c>
      <c r="C547" s="4">
        <v>1.036373</v>
      </c>
      <c r="D547" s="4">
        <v>-30.286994</v>
      </c>
      <c r="E547" s="4">
        <f>((-45.1477116/(10/9))+-10.5)+-0.4</f>
        <v>-51.532940439999997</v>
      </c>
      <c r="F547" s="4">
        <f>((-0.43229416*(1.3/1.5))*0.6)-0.3</f>
        <v>-0.52479296320000002</v>
      </c>
    </row>
    <row r="548" spans="1:6" x14ac:dyDescent="0.4">
      <c r="A548" s="4">
        <v>478.00905</v>
      </c>
      <c r="B548" s="4">
        <v>1.0608658</v>
      </c>
      <c r="C548" s="4">
        <v>1.0363597</v>
      </c>
      <c r="D548" s="4">
        <v>-30.286232999999999</v>
      </c>
      <c r="E548" s="4">
        <f>((-45.0647784/(10/9))+-10.5)+-0.4</f>
        <v>-51.458300559999998</v>
      </c>
      <c r="F548" s="4">
        <f>((-0.43244931*(1.3/1.5))*0.6)-0.3</f>
        <v>-0.52487364119999991</v>
      </c>
    </row>
    <row r="549" spans="1:6" x14ac:dyDescent="0.4">
      <c r="A549" s="4">
        <v>478.88397499999996</v>
      </c>
      <c r="B549" s="4">
        <v>1.0609008</v>
      </c>
      <c r="C549" s="4">
        <v>1.0365105999999999</v>
      </c>
      <c r="D549" s="4">
        <v>-30.285565999999999</v>
      </c>
      <c r="E549" s="4">
        <f>((-45.0231057/(10/9))+-10.5)+-0.4</f>
        <v>-51.420795130000002</v>
      </c>
      <c r="F549" s="4">
        <f>((-0.43255681*(1.3/1.5))*0.6)-0.3</f>
        <v>-0.52492954120000002</v>
      </c>
    </row>
    <row r="550" spans="1:6" x14ac:dyDescent="0.4">
      <c r="A550" s="4">
        <v>479.75890000000004</v>
      </c>
      <c r="B550" s="4">
        <v>1.060848</v>
      </c>
      <c r="C550" s="4">
        <v>1.0363846000000001</v>
      </c>
      <c r="D550" s="4">
        <v>-30.284832999999999</v>
      </c>
      <c r="E550" s="4">
        <f>((-44.8742817/(10/9))+-10.5)+-0.4</f>
        <v>-51.286853529999995</v>
      </c>
      <c r="F550" s="4">
        <f>((-0.43275678*(1.3/1.5))*0.6)-0.3</f>
        <v>-0.52503352560000005</v>
      </c>
    </row>
    <row r="551" spans="1:6" x14ac:dyDescent="0.4">
      <c r="A551" s="4">
        <v>480.633825</v>
      </c>
      <c r="B551" s="4">
        <v>1.0607709000000001</v>
      </c>
      <c r="C551" s="4">
        <v>1.0363289</v>
      </c>
      <c r="D551" s="4">
        <v>-30.284079999999999</v>
      </c>
      <c r="E551" s="4">
        <f>((-44.9082954/(10/9))+-10.5)+-0.4</f>
        <v>-51.317465859999999</v>
      </c>
      <c r="F551" s="4">
        <f>((-0.43292683*(1.3/1.5))*0.6)-0.3</f>
        <v>-0.52512195159999997</v>
      </c>
    </row>
    <row r="552" spans="1:6" x14ac:dyDescent="0.4">
      <c r="A552" s="4">
        <v>481.50875000000002</v>
      </c>
      <c r="B552" s="4">
        <v>1.0607660999999999</v>
      </c>
      <c r="C552" s="4">
        <v>1.0363058000000001</v>
      </c>
      <c r="D552" s="4">
        <v>-30.283705999999999</v>
      </c>
      <c r="E552" s="4">
        <f>((-44.9186292/(10/9))+-10.5)+-0.4</f>
        <v>-51.326766279999994</v>
      </c>
      <c r="F552" s="4">
        <f>((-0.43299246*(1.3/1.5))*0.6)-0.3</f>
        <v>-0.52515607919999996</v>
      </c>
    </row>
    <row r="553" spans="1:6" x14ac:dyDescent="0.4">
      <c r="A553" s="4">
        <v>482.38367499999998</v>
      </c>
      <c r="B553" s="4">
        <v>1.0607367999999999</v>
      </c>
      <c r="C553" s="4">
        <v>1.0362022</v>
      </c>
      <c r="D553" s="4">
        <v>-30.282795999999998</v>
      </c>
      <c r="E553" s="4">
        <f>((-44.9270541/(10/9))+-10.5)+-0.4</f>
        <v>-51.334348689999999</v>
      </c>
      <c r="F553" s="4">
        <f>((-0.43310446*(1.3/1.5))*0.6)-0.3</f>
        <v>-0.52521431920000006</v>
      </c>
    </row>
    <row r="554" spans="1:6" x14ac:dyDescent="0.4">
      <c r="A554" s="4">
        <v>483.2586</v>
      </c>
      <c r="B554" s="4">
        <v>1.0606367999999999</v>
      </c>
      <c r="C554" s="4">
        <v>1.0361313999999999</v>
      </c>
      <c r="D554" s="4">
        <v>-30.281939999999999</v>
      </c>
      <c r="E554" s="4">
        <f>((-44.9757747/(10/9))+-10.5)+-0.4</f>
        <v>-51.378197229999998</v>
      </c>
      <c r="F554" s="4">
        <f>((-0.43323436*(1.3/1.5))*0.6)-0.3</f>
        <v>-0.52528186719999992</v>
      </c>
    </row>
    <row r="555" spans="1:6" x14ac:dyDescent="0.4">
      <c r="A555" s="4">
        <v>484.13352500000002</v>
      </c>
      <c r="B555" s="4">
        <v>1.0607850999999999</v>
      </c>
      <c r="C555" s="4">
        <v>1.0363228</v>
      </c>
      <c r="D555" s="4">
        <v>-30.281172999999999</v>
      </c>
      <c r="E555" s="4">
        <f>((-44.873352/(10/9))+-10.5)+-0.4</f>
        <v>-51.286016799999992</v>
      </c>
      <c r="F555" s="4">
        <f>((-0.43338531*(1.3/1.5))*0.6)-0.3</f>
        <v>-0.52536036119999996</v>
      </c>
    </row>
    <row r="556" spans="1:6" x14ac:dyDescent="0.4">
      <c r="A556" s="4">
        <v>485.00845000000004</v>
      </c>
      <c r="B556" s="4">
        <v>1.0606768</v>
      </c>
      <c r="C556" s="4">
        <v>1.0363446000000001</v>
      </c>
      <c r="D556" s="4">
        <v>-30.280511000000001</v>
      </c>
      <c r="E556" s="4">
        <f>((-44.9950257/(10/9))+-10.5)+-0.4</f>
        <v>-51.395523129999994</v>
      </c>
      <c r="F556" s="4">
        <f>((-0.43353188*(1.3/1.5))*0.6)-0.3</f>
        <v>-0.52543657759999995</v>
      </c>
    </row>
    <row r="557" spans="1:6" x14ac:dyDescent="0.4">
      <c r="A557" s="4">
        <v>485.883375</v>
      </c>
      <c r="B557" s="4">
        <v>1.0604688</v>
      </c>
      <c r="C557" s="4">
        <v>1.0361533999999999</v>
      </c>
      <c r="D557" s="4">
        <v>-30.280073999999999</v>
      </c>
      <c r="E557" s="4">
        <f>((-44.8765272/(10/9))+-10.5)+-0.4</f>
        <v>-51.288874479999997</v>
      </c>
      <c r="F557" s="4">
        <f>((-0.4336907*(1.3/1.5))*0.6)-0.3</f>
        <v>-0.52551916399999998</v>
      </c>
    </row>
    <row r="558" spans="1:6" x14ac:dyDescent="0.4">
      <c r="A558" s="4">
        <v>486.75829999999996</v>
      </c>
      <c r="B558" s="4">
        <v>1.0606564999999999</v>
      </c>
      <c r="C558" s="4">
        <v>1.0360855</v>
      </c>
      <c r="D558" s="4">
        <v>-30.279146999999998</v>
      </c>
      <c r="E558" s="4">
        <f>((-44.7622803/(10/9))+-10.5)+-0.4</f>
        <v>-51.186052269999998</v>
      </c>
      <c r="F558" s="4">
        <f>((-0.43383771*(1.3/1.5))*0.6)-0.3</f>
        <v>-0.52559560920000004</v>
      </c>
    </row>
    <row r="559" spans="1:6" x14ac:dyDescent="0.4">
      <c r="A559" s="4">
        <v>487.63322499999998</v>
      </c>
      <c r="B559" s="4">
        <v>1.0607233</v>
      </c>
      <c r="C559" s="4">
        <v>1.0361944000000001</v>
      </c>
      <c r="D559" s="4">
        <v>-30.278341000000001</v>
      </c>
      <c r="E559" s="4">
        <f>((-44.7578856/(10/9))+-10.5)+-0.4</f>
        <v>-51.182097039999995</v>
      </c>
      <c r="F559" s="4">
        <f>((-0.43396237*(1.3/1.5))*0.6)-0.3</f>
        <v>-0.52566043240000004</v>
      </c>
    </row>
    <row r="560" spans="1:6" x14ac:dyDescent="0.4">
      <c r="A560" s="4">
        <v>488.50815</v>
      </c>
      <c r="B560" s="4">
        <v>1.0605891999999999</v>
      </c>
      <c r="C560" s="4">
        <v>1.0361343999999999</v>
      </c>
      <c r="D560" s="4">
        <v>-30.277332999999999</v>
      </c>
      <c r="E560" s="4">
        <f>((-44.6108265/(10/9))+-10.5)+-0.4</f>
        <v>-51.049743849999999</v>
      </c>
      <c r="F560" s="4">
        <f>((-0.43400878*(1.3/1.5))*0.6)-0.3</f>
        <v>-0.52568456559999999</v>
      </c>
    </row>
    <row r="561" spans="1:6" x14ac:dyDescent="0.4">
      <c r="A561" s="4">
        <v>489.38307500000002</v>
      </c>
      <c r="B561" s="4">
        <v>1.0605637000000001</v>
      </c>
      <c r="C561" s="4">
        <v>1.0361798</v>
      </c>
      <c r="D561" s="4">
        <v>-30.276488000000001</v>
      </c>
      <c r="E561" s="4">
        <f>((-44.7677388/(10/9))+-10.5)+-0.4</f>
        <v>-51.190964919999992</v>
      </c>
      <c r="F561" s="4">
        <f>((-0.43403304*(1.3/1.5))*0.6)-0.3</f>
        <v>-0.52569718079999994</v>
      </c>
    </row>
    <row r="562" spans="1:6" x14ac:dyDescent="0.4">
      <c r="A562" s="4">
        <v>490.25799999999998</v>
      </c>
      <c r="B562" s="4">
        <v>1.0608702999999999</v>
      </c>
      <c r="C562" s="4">
        <v>1.0359124</v>
      </c>
      <c r="D562" s="4">
        <v>-30.275410999999998</v>
      </c>
      <c r="E562" s="4">
        <f>((-44.9049303/(10/9))+-10.5)+-0.4</f>
        <v>-51.314437269999992</v>
      </c>
      <c r="F562" s="4">
        <f>((-0.43407214*(1.3/1.5))*0.6)-0.3</f>
        <v>-0.52571751280000001</v>
      </c>
    </row>
    <row r="563" spans="1:6" x14ac:dyDescent="0.4">
      <c r="A563" s="4">
        <v>491.132925</v>
      </c>
      <c r="B563" s="4">
        <v>1.0605087</v>
      </c>
      <c r="C563" s="4">
        <v>1.0358731999999999</v>
      </c>
      <c r="D563" s="4">
        <v>-30.274443999999999</v>
      </c>
      <c r="E563" s="4">
        <f>((-44.7991875/(10/9))+-10.5)+-0.4</f>
        <v>-51.219268749999998</v>
      </c>
      <c r="F563" s="4">
        <f>((-0.43406904*(1.3/1.5))*0.6)-0.3</f>
        <v>-0.52571590079999997</v>
      </c>
    </row>
    <row r="564" spans="1:6" x14ac:dyDescent="0.4">
      <c r="A564" s="4">
        <v>492.00784999999996</v>
      </c>
      <c r="B564" s="4">
        <v>1.0605165000000001</v>
      </c>
      <c r="C564" s="4">
        <v>1.0359242</v>
      </c>
      <c r="D564" s="4">
        <v>-30.273365999999999</v>
      </c>
      <c r="E564" s="4">
        <f>((-44.8919046/(10/9))+-10.5)+-0.4</f>
        <v>-51.302714139999992</v>
      </c>
      <c r="F564" s="4">
        <f>((-0.43406647*(1.3/1.5))*0.6)-0.3</f>
        <v>-0.52571456439999997</v>
      </c>
    </row>
    <row r="565" spans="1:6" x14ac:dyDescent="0.4">
      <c r="A565" s="4">
        <v>492.88277500000004</v>
      </c>
      <c r="B565" s="4">
        <v>1.0606245999999999</v>
      </c>
      <c r="C565" s="4">
        <v>1.0360096000000001</v>
      </c>
      <c r="D565" s="4">
        <v>-30.272165999999999</v>
      </c>
      <c r="E565" s="4">
        <f>((-44.8366851/(10/9))+-10.5)+-0.4</f>
        <v>-51.253016589999994</v>
      </c>
      <c r="F565" s="4">
        <f>((-0.43396643*(1.3/1.5))*0.6)-0.3</f>
        <v>-0.52566254359999998</v>
      </c>
    </row>
    <row r="566" spans="1:6" x14ac:dyDescent="0.4">
      <c r="A566" s="4">
        <v>493.7577</v>
      </c>
      <c r="B566" s="4">
        <v>1.0604426</v>
      </c>
      <c r="C566" s="4">
        <v>1.0359122000000001</v>
      </c>
      <c r="D566" s="4">
        <v>-30.270795</v>
      </c>
      <c r="E566" s="4">
        <f>((-44.6830614/(10/9))+-10.5)+-0.4</f>
        <v>-51.114755259999995</v>
      </c>
      <c r="F566" s="4">
        <f>((-0.43400726*(1.3/1.5))*0.6)-0.3</f>
        <v>-0.52568377519999998</v>
      </c>
    </row>
    <row r="567" spans="1:6" x14ac:dyDescent="0.4">
      <c r="A567" s="4">
        <v>494.63262500000002</v>
      </c>
      <c r="B567" s="4">
        <v>1.0607165999999999</v>
      </c>
      <c r="C567" s="4">
        <v>1.0358148</v>
      </c>
      <c r="D567" s="4">
        <v>-30.269743999999999</v>
      </c>
      <c r="E567" s="4">
        <f>((-44.8729533/(10/9))+-10.5)+-0.4</f>
        <v>-51.285657969999995</v>
      </c>
      <c r="F567" s="4">
        <f>((-0.43404868*(1.3/1.5))*0.6)-0.3</f>
        <v>-0.52570531360000006</v>
      </c>
    </row>
    <row r="568" spans="1:6" x14ac:dyDescent="0.4">
      <c r="A568" s="4">
        <v>495.50754999999998</v>
      </c>
      <c r="B568" s="4">
        <v>1.0607481000000001</v>
      </c>
      <c r="C568" s="4">
        <v>1.0359130000000001</v>
      </c>
      <c r="D568" s="4">
        <v>-30.268709999999999</v>
      </c>
      <c r="E568" s="4">
        <f>((-44.7141051/(10/9))+-10.5)+-0.4</f>
        <v>-51.142694589999998</v>
      </c>
      <c r="F568" s="4">
        <f>((-0.43400621*(1.3/1.5))*0.6)-0.3</f>
        <v>-0.52568322919999999</v>
      </c>
    </row>
    <row r="569" spans="1:6" x14ac:dyDescent="0.4">
      <c r="A569" s="4">
        <v>496.382475</v>
      </c>
      <c r="B569" s="4">
        <v>1.0605530999999999</v>
      </c>
      <c r="C569" s="4">
        <v>1.0358262</v>
      </c>
      <c r="D569" s="4">
        <v>-30.267409999999998</v>
      </c>
      <c r="E569" s="4">
        <f>((-44.6891148/(10/9))+-10.5)+-0.4</f>
        <v>-51.120203319999995</v>
      </c>
      <c r="F569" s="4">
        <f>((-0.43402359*(1.3/1.5))*0.6)-0.3</f>
        <v>-0.52569226680000003</v>
      </c>
    </row>
    <row r="570" spans="1:6" x14ac:dyDescent="0.4">
      <c r="A570" s="4">
        <v>497.25740000000002</v>
      </c>
      <c r="B570" s="4">
        <v>1.0605831999999999</v>
      </c>
      <c r="C570" s="4">
        <v>1.0357521000000001</v>
      </c>
      <c r="D570" s="4">
        <v>-30.266190999999999</v>
      </c>
      <c r="E570" s="4">
        <f>((-44.8032141/(10/9))+-10.5)+-0.4</f>
        <v>-51.222892689999995</v>
      </c>
      <c r="F570" s="4">
        <f>((-0.43400419*(1.3/1.5))*0.6)-0.3</f>
        <v>-0.52568217880000001</v>
      </c>
    </row>
    <row r="571" spans="1:6" x14ac:dyDescent="0.4">
      <c r="A571" s="4">
        <v>498.13232500000004</v>
      </c>
      <c r="B571" s="4">
        <v>1.0603583999999999</v>
      </c>
      <c r="C571" s="4">
        <v>1.0356723999999999</v>
      </c>
      <c r="D571" s="4">
        <v>-30.265003999999998</v>
      </c>
      <c r="E571" s="4">
        <f>((-44.6437206/(10/9))+-10.5)+-0.4</f>
        <v>-51.079348539999998</v>
      </c>
      <c r="F571" s="4">
        <f>((-0.43400463*(1.3/1.5))*0.6)-0.3</f>
        <v>-0.52568240759999996</v>
      </c>
    </row>
    <row r="572" spans="1:6" x14ac:dyDescent="0.4">
      <c r="A572" s="4">
        <v>499.00725</v>
      </c>
      <c r="B572" s="4">
        <v>1.0604765</v>
      </c>
      <c r="C572" s="4">
        <v>1.0356342000000001</v>
      </c>
      <c r="D572" s="4">
        <v>-30.263695999999999</v>
      </c>
      <c r="E572" s="4">
        <f>((-44.7641919/(10/9))+-10.5)+-0.4</f>
        <v>-51.187772709999997</v>
      </c>
      <c r="F572" s="4">
        <f>((-0.43401739*(1.3/1.5))*0.6)-0.3</f>
        <v>-0.52568904279999995</v>
      </c>
    </row>
    <row r="573" spans="1:6" x14ac:dyDescent="0.4">
      <c r="A573" s="4">
        <v>499.88217499999996</v>
      </c>
      <c r="B573" s="4">
        <v>1.0603994000000001</v>
      </c>
      <c r="C573" s="4">
        <v>1.0357159</v>
      </c>
      <c r="D573" s="4">
        <v>-30.262865999999999</v>
      </c>
      <c r="E573" s="4">
        <f>((-44.7913728/(10/9))+-10.5)+-0.4</f>
        <v>-51.212235519999993</v>
      </c>
      <c r="F573" s="4">
        <f>((-0.43410733*(1.3/1.5))*0.6)-0.3</f>
        <v>-0.52573581159999994</v>
      </c>
    </row>
    <row r="574" spans="1:6" x14ac:dyDescent="0.4">
      <c r="A574" s="4">
        <v>500.75709999999998</v>
      </c>
      <c r="B574" s="4">
        <v>1.0604893</v>
      </c>
      <c r="C574" s="4">
        <v>1.0357826000000001</v>
      </c>
      <c r="D574" s="4">
        <v>-30.261634000000001</v>
      </c>
      <c r="E574" s="4">
        <f>((-44.6900175/(10/9))+-10.5)+-0.4</f>
        <v>-51.121015749999998</v>
      </c>
      <c r="F574" s="4">
        <f>((-0.43414593*(1.3/1.5))*0.6)-0.3</f>
        <v>-0.52575588360000003</v>
      </c>
    </row>
    <row r="575" spans="1:6" x14ac:dyDescent="0.4">
      <c r="A575" s="4">
        <v>501.632025</v>
      </c>
      <c r="B575" s="4">
        <v>1.0605745</v>
      </c>
      <c r="C575" s="4">
        <v>1.0358018</v>
      </c>
      <c r="D575" s="4">
        <v>-30.260883</v>
      </c>
      <c r="E575" s="4">
        <f>((-44.8408737/(10/9))+-10.5)+-0.4</f>
        <v>-51.256786329999997</v>
      </c>
      <c r="F575" s="4">
        <f>((-0.43419698*(1.3/1.5))*0.6)-0.3</f>
        <v>-0.52578242959999999</v>
      </c>
    </row>
    <row r="576" spans="1:6" x14ac:dyDescent="0.4">
      <c r="A576" s="4">
        <v>502.50695000000002</v>
      </c>
      <c r="B576" s="4">
        <v>1.0604674999999999</v>
      </c>
      <c r="C576" s="4">
        <v>1.0357672</v>
      </c>
      <c r="D576" s="4">
        <v>-30.259528</v>
      </c>
      <c r="E576" s="4">
        <f>((-44.5336956/(10/9))+-10.5)+-0.4</f>
        <v>-50.980326040000001</v>
      </c>
      <c r="F576" s="4">
        <f>((-0.43423489*(1.3/1.5))*0.6)-0.3</f>
        <v>-0.52580214279999993</v>
      </c>
    </row>
    <row r="577" spans="1:6" x14ac:dyDescent="0.4">
      <c r="A577" s="4">
        <v>503.38187499999998</v>
      </c>
      <c r="B577" s="4">
        <v>1.0602753</v>
      </c>
      <c r="C577" s="4">
        <v>1.0356801</v>
      </c>
      <c r="D577" s="4">
        <v>-30.258310999999999</v>
      </c>
      <c r="E577" s="4">
        <f>((-44.6521833/(10/9))+-10.5)+-0.4</f>
        <v>-51.086964969999997</v>
      </c>
      <c r="F577" s="4">
        <f>((-0.43427745*(1.3/1.5))*0.6)-0.3</f>
        <v>-0.52582427399999998</v>
      </c>
    </row>
    <row r="578" spans="1:6" x14ac:dyDescent="0.4">
      <c r="A578" s="4">
        <v>504.2568</v>
      </c>
      <c r="B578" s="4">
        <v>1.0604922999999999</v>
      </c>
      <c r="C578" s="4">
        <v>1.0356274000000001</v>
      </c>
      <c r="D578" s="4">
        <v>-30.257397999999998</v>
      </c>
      <c r="E578" s="4">
        <f>((-44.5367961/(10/9))+-10.5)+-0.4</f>
        <v>-50.983116489999993</v>
      </c>
      <c r="F578" s="4">
        <f>((-0.43430558*(1.3/1.5))*0.6)-0.3</f>
        <v>-0.52583890160000002</v>
      </c>
    </row>
    <row r="579" spans="1:6" x14ac:dyDescent="0.4">
      <c r="A579" s="4">
        <v>505.13172499999996</v>
      </c>
      <c r="B579" s="4">
        <v>1.060432</v>
      </c>
      <c r="C579" s="4">
        <v>1.0357542</v>
      </c>
      <c r="D579" s="4">
        <v>-30.256012999999999</v>
      </c>
      <c r="E579" s="4">
        <f>((-44.6654493/(10/9))+-10.5)+-0.4</f>
        <v>-51.098904369999993</v>
      </c>
      <c r="F579" s="4">
        <f>((-0.43430957*(1.3/1.5))*0.6)-0.3</f>
        <v>-0.52584097639999994</v>
      </c>
    </row>
    <row r="580" spans="1:6" x14ac:dyDescent="0.4">
      <c r="A580" s="4">
        <v>506.00665000000004</v>
      </c>
      <c r="B580" s="4">
        <v>1.0602866</v>
      </c>
      <c r="C580" s="4">
        <v>1.0356643999999999</v>
      </c>
      <c r="D580" s="4">
        <v>-30.254500999999998</v>
      </c>
      <c r="E580" s="4">
        <f>((-44.6238558/(10/9))+-10.5)+-0.4</f>
        <v>-51.061470219999997</v>
      </c>
      <c r="F580" s="4">
        <f>((-0.43429193*(1.3/1.5))*0.6)-0.3</f>
        <v>-0.52583180360000004</v>
      </c>
    </row>
    <row r="581" spans="1:6" x14ac:dyDescent="0.4">
      <c r="A581" s="4">
        <v>506.881575</v>
      </c>
      <c r="B581" s="4">
        <v>1.060192</v>
      </c>
      <c r="C581" s="4">
        <v>1.0355798000000001</v>
      </c>
      <c r="D581" s="4">
        <v>-30.253105999999999</v>
      </c>
      <c r="E581" s="4">
        <f>((-44.5088907/(10/9))+-10.5)+-0.4</f>
        <v>-50.958001629999998</v>
      </c>
      <c r="F581" s="4">
        <f>((-0.43432826*(1.3/1.5))*0.6)-0.3</f>
        <v>-0.52585069519999994</v>
      </c>
    </row>
    <row r="582" spans="1:6" x14ac:dyDescent="0.4">
      <c r="A582" s="4">
        <v>507.75650000000002</v>
      </c>
      <c r="B582" s="4">
        <v>1.0603222000000001</v>
      </c>
      <c r="C582" s="4">
        <v>1.0357225999999999</v>
      </c>
      <c r="D582" s="4">
        <v>-30.251936999999998</v>
      </c>
      <c r="E582" s="4">
        <f>((-44.5424877/(10/9))+-10.5)+-0.4</f>
        <v>-50.988238930000001</v>
      </c>
      <c r="F582" s="4">
        <f>((-0.43434662*(1.3/1.5))*0.6)-0.3</f>
        <v>-0.52586024239999996</v>
      </c>
    </row>
    <row r="583" spans="1:6" x14ac:dyDescent="0.4">
      <c r="A583" s="4">
        <v>508.63142499999998</v>
      </c>
      <c r="B583" s="4">
        <v>1.0603009000000001</v>
      </c>
      <c r="C583" s="4">
        <v>1.0357212</v>
      </c>
      <c r="D583" s="4">
        <v>-30.25085</v>
      </c>
      <c r="E583" s="4">
        <f>((-44.5926411/(10/9))+-10.5)+-0.4</f>
        <v>-51.033376990000001</v>
      </c>
      <c r="F583" s="4">
        <f>((-0.43442184*(1.3/1.5))*0.6)-0.3</f>
        <v>-0.5258993568</v>
      </c>
    </row>
    <row r="584" spans="1:6" x14ac:dyDescent="0.4">
      <c r="A584" s="4">
        <v>509.50635</v>
      </c>
      <c r="B584" s="4">
        <v>1.0601799000000001</v>
      </c>
      <c r="C584" s="4">
        <v>1.0356217999999999</v>
      </c>
      <c r="D584" s="4">
        <v>-30.249693999999998</v>
      </c>
      <c r="E584" s="4">
        <f>((-44.7523236/(10/9))+-10.5)+-0.4</f>
        <v>-51.177091239999996</v>
      </c>
      <c r="F584" s="4">
        <f>((-0.43450999*(1.3/1.5))*0.6)-0.3</f>
        <v>-0.52594519480000002</v>
      </c>
    </row>
    <row r="585" spans="1:6" x14ac:dyDescent="0.4">
      <c r="A585" s="4">
        <v>510.38127500000002</v>
      </c>
      <c r="B585" s="4">
        <v>1.0599616000000001</v>
      </c>
      <c r="C585" s="4">
        <v>1.0354072999999999</v>
      </c>
      <c r="D585" s="4">
        <v>-30.248135999999999</v>
      </c>
      <c r="E585" s="4">
        <f>((-44.4593178/(10/9))+-10.5)+-0.4</f>
        <v>-50.913386019999997</v>
      </c>
      <c r="F585" s="4">
        <f>((-0.43453652*(1.3/1.5))*0.6)-0.3</f>
        <v>-0.52595899039999994</v>
      </c>
    </row>
    <row r="586" spans="1:6" x14ac:dyDescent="0.4">
      <c r="A586" s="4">
        <v>511.25620000000004</v>
      </c>
      <c r="B586" s="4">
        <v>1.0599698</v>
      </c>
      <c r="C586" s="4">
        <v>1.0353494999999999</v>
      </c>
      <c r="D586" s="4">
        <v>-30.246904000000001</v>
      </c>
      <c r="E586" s="4">
        <f>((-44.3651994/(10/9))+-10.5)+-0.4</f>
        <v>-50.828679459999996</v>
      </c>
      <c r="F586" s="4">
        <f>((-0.43458545*(1.3/1.5))*0.6)-0.3</f>
        <v>-0.52598443399999995</v>
      </c>
    </row>
    <row r="587" spans="1:6" x14ac:dyDescent="0.4">
      <c r="A587" s="4">
        <v>512.131125</v>
      </c>
      <c r="B587" s="4">
        <v>1.0601103000000001</v>
      </c>
      <c r="C587" s="4">
        <v>1.0355065999999999</v>
      </c>
      <c r="D587" s="4">
        <v>-30.245598999999999</v>
      </c>
      <c r="E587" s="4">
        <f>((-44.4062718/(10/9))+-10.5)+-0.4</f>
        <v>-50.865644619999998</v>
      </c>
      <c r="F587" s="4">
        <f>((-0.43460965*(1.3/1.5))*0.6)-0.3</f>
        <v>-0.52599701799999998</v>
      </c>
    </row>
    <row r="588" spans="1:6" x14ac:dyDescent="0.4">
      <c r="A588" s="4">
        <v>513.00604999999996</v>
      </c>
      <c r="B588" s="4">
        <v>1.0600456</v>
      </c>
      <c r="C588" s="4">
        <v>1.0356848999999999</v>
      </c>
      <c r="D588" s="4">
        <v>-30.244149</v>
      </c>
      <c r="E588" s="4">
        <f>((-44.6071527/(10/9))+-10.5)+-0.4</f>
        <v>-51.046437429999997</v>
      </c>
      <c r="F588" s="4">
        <f>((-0.43459263*(1.3/1.5))*0.6)-0.3</f>
        <v>-0.5259881676</v>
      </c>
    </row>
    <row r="589" spans="1:6" x14ac:dyDescent="0.4">
      <c r="A589" s="4">
        <v>513.88097499999992</v>
      </c>
      <c r="B589" s="4">
        <v>1.0599334</v>
      </c>
      <c r="C589" s="4">
        <v>1.0352307999999999</v>
      </c>
      <c r="D589" s="4">
        <v>-30.242754999999999</v>
      </c>
      <c r="E589" s="4">
        <f>((-44.4615912/(10/9))+-10.5)+-0.4</f>
        <v>-50.915432079999995</v>
      </c>
      <c r="F589" s="4">
        <f>((-0.43457082*(1.3/1.5))*0.6)-0.3</f>
        <v>-0.52597682639999999</v>
      </c>
    </row>
    <row r="590" spans="1:6" x14ac:dyDescent="0.4">
      <c r="A590" s="4">
        <v>514.7559</v>
      </c>
      <c r="B590" s="4">
        <v>1.0598799999999999</v>
      </c>
      <c r="C590" s="4">
        <v>1.0354464999999999</v>
      </c>
      <c r="D590" s="4">
        <v>-30.241320999999999</v>
      </c>
      <c r="E590" s="4">
        <f>((-44.4283398/(10/9))+-10.5)+-0.4</f>
        <v>-50.885505819999999</v>
      </c>
      <c r="F590" s="4">
        <f>((-0.43456605*(1.3/1.5))*0.6)-0.3</f>
        <v>-0.52597434599999993</v>
      </c>
    </row>
    <row r="591" spans="1:6" x14ac:dyDescent="0.4">
      <c r="A591" s="4">
        <v>515.63082499999996</v>
      </c>
      <c r="B591" s="4">
        <v>1.0599638</v>
      </c>
      <c r="C591" s="4">
        <v>1.0354597999999999</v>
      </c>
      <c r="D591" s="4">
        <v>-30.239809999999999</v>
      </c>
      <c r="E591" s="4">
        <f>((-44.5547997/(10/9))+-10.5)+-0.4</f>
        <v>-50.999319729999996</v>
      </c>
      <c r="F591" s="4">
        <f>((-0.43457007*(1.3/1.5))*0.6)-0.3</f>
        <v>-0.52597643639999991</v>
      </c>
    </row>
    <row r="592" spans="1:6" x14ac:dyDescent="0.4">
      <c r="A592" s="4">
        <v>516.50575000000003</v>
      </c>
      <c r="B592" s="4">
        <v>1.0600624999999999</v>
      </c>
      <c r="C592" s="4">
        <v>1.0354395999999999</v>
      </c>
      <c r="D592" s="4">
        <v>-30.238409999999998</v>
      </c>
      <c r="E592" s="4">
        <f>((-44.5544874/(10/9))+-10.5)+-0.4</f>
        <v>-50.999038659999997</v>
      </c>
      <c r="F592" s="4">
        <f>((-0.43466029*(1.3/1.5))*0.6)-0.3</f>
        <v>-0.52602335080000007</v>
      </c>
    </row>
    <row r="593" spans="1:6" x14ac:dyDescent="0.4">
      <c r="A593" s="4">
        <v>517.380675</v>
      </c>
      <c r="B593" s="4">
        <v>1.0601034</v>
      </c>
      <c r="C593" s="4">
        <v>1.0356368</v>
      </c>
      <c r="D593" s="4">
        <v>-30.237134000000001</v>
      </c>
      <c r="E593" s="4">
        <f>((-44.3633112/(10/9))+-10.5)+-0.4</f>
        <v>-50.826980079999998</v>
      </c>
      <c r="F593" s="4">
        <f>((-0.43473193*(1.3/1.5))*0.6)-0.3</f>
        <v>-0.52606060359999995</v>
      </c>
    </row>
    <row r="594" spans="1:6" x14ac:dyDescent="0.4">
      <c r="A594" s="4">
        <v>518.25559999999996</v>
      </c>
      <c r="B594" s="4">
        <v>1.0599139</v>
      </c>
      <c r="C594" s="4">
        <v>1.0353941</v>
      </c>
      <c r="D594" s="4">
        <v>-30.235624999999999</v>
      </c>
      <c r="E594" s="4">
        <f>((-44.4364011/(10/9))+-10.5)+-0.4</f>
        <v>-50.892760989999992</v>
      </c>
      <c r="F594" s="4">
        <f>((-0.43470648*(1.3/1.5))*0.6)-0.3</f>
        <v>-0.52604736959999998</v>
      </c>
    </row>
    <row r="595" spans="1:6" x14ac:dyDescent="0.4">
      <c r="A595" s="4">
        <v>519.13052500000003</v>
      </c>
      <c r="B595" s="4">
        <v>1.059938</v>
      </c>
      <c r="C595" s="4">
        <v>1.0353066</v>
      </c>
      <c r="D595" s="4">
        <v>-30.234072999999999</v>
      </c>
      <c r="E595" s="4">
        <f>((-44.4202002/(10/9))+-10.5)+-0.4</f>
        <v>-50.878180179999994</v>
      </c>
      <c r="F595" s="4">
        <f>((-0.4347263*(1.3/1.5))*0.6)-0.3</f>
        <v>-0.52605767599999997</v>
      </c>
    </row>
    <row r="596" spans="1:6" x14ac:dyDescent="0.4">
      <c r="A596" s="4">
        <v>520.00545</v>
      </c>
      <c r="B596" s="4">
        <v>1.0599054999999999</v>
      </c>
      <c r="C596" s="4">
        <v>1.0352234</v>
      </c>
      <c r="D596" s="4">
        <v>-30.232599999999998</v>
      </c>
      <c r="E596" s="4">
        <f>((-44.4376269/(10/9))+-10.5)+-0.4</f>
        <v>-50.893864209999997</v>
      </c>
      <c r="F596" s="4">
        <f>((-0.43475154*(1.3/1.5))*0.6)-0.3</f>
        <v>-0.5260708007999999</v>
      </c>
    </row>
    <row r="597" spans="1:6" x14ac:dyDescent="0.4">
      <c r="A597" s="4">
        <v>520.88037499999996</v>
      </c>
      <c r="B597" s="4">
        <v>1.0598099000000001</v>
      </c>
      <c r="C597" s="4">
        <v>1.0354401</v>
      </c>
      <c r="D597" s="4">
        <v>-30.230955999999999</v>
      </c>
      <c r="E597" s="4">
        <f>((-44.5424706/(10/9))+-10.5)+-0.4</f>
        <v>-50.98822354</v>
      </c>
      <c r="F597" s="4">
        <f>((-0.43479359*(1.3/1.5))*0.6)-0.3</f>
        <v>-0.5260926668</v>
      </c>
    </row>
    <row r="598" spans="1:6" x14ac:dyDescent="0.4">
      <c r="A598" s="4">
        <v>521.75530000000003</v>
      </c>
      <c r="B598" s="4">
        <v>1.0597839</v>
      </c>
      <c r="C598" s="4">
        <v>1.0353441000000001</v>
      </c>
      <c r="D598" s="4">
        <v>-30.229748999999998</v>
      </c>
      <c r="E598" s="4">
        <f>((-44.4373794/(10/9))+-10.5)+-0.4</f>
        <v>-50.893641459999998</v>
      </c>
      <c r="F598" s="4">
        <f>((-0.43487108*(1.3/1.5))*0.6)-0.3</f>
        <v>-0.5261329616</v>
      </c>
    </row>
    <row r="599" spans="1:6" x14ac:dyDescent="0.4">
      <c r="A599" s="4">
        <v>522.630225</v>
      </c>
      <c r="B599" s="4">
        <v>1.0597977999999999</v>
      </c>
      <c r="C599" s="4">
        <v>1.0352885000000001</v>
      </c>
      <c r="D599" s="4">
        <v>-30.228009</v>
      </c>
      <c r="E599" s="4">
        <f>((-44.2772505/(10/9))+-10.5)+-0.4</f>
        <v>-50.74952545</v>
      </c>
      <c r="F599" s="4">
        <f>((-0.43487281*(1.3/1.5))*0.6)-0.3</f>
        <v>-0.52613386119999994</v>
      </c>
    </row>
    <row r="600" spans="1:6" x14ac:dyDescent="0.4">
      <c r="A600" s="4">
        <v>523.50515000000007</v>
      </c>
      <c r="B600" s="4">
        <v>1.0599772000000001</v>
      </c>
      <c r="C600" s="4">
        <v>1.0352410000000001</v>
      </c>
      <c r="D600" s="4">
        <v>-30.227007999999998</v>
      </c>
      <c r="E600" s="4">
        <f>((-44.1835992/(10/9))+-10.5)+-0.4</f>
        <v>-50.665239280000002</v>
      </c>
      <c r="F600" s="4">
        <f>((-0.43491933*(1.3/1.5))*0.6)-0.3</f>
        <v>-0.52615805159999995</v>
      </c>
    </row>
    <row r="601" spans="1:6" x14ac:dyDescent="0.4">
      <c r="A601" s="4">
        <v>524.38007499999992</v>
      </c>
      <c r="B601" s="4">
        <v>1.0599073999999999</v>
      </c>
      <c r="C601" s="4">
        <v>1.0350965999999999</v>
      </c>
      <c r="D601" s="4">
        <v>-30.225239999999999</v>
      </c>
      <c r="E601" s="4">
        <f>((-44.1898164/(10/9))+-10.5)+-0.4</f>
        <v>-50.670834759999998</v>
      </c>
      <c r="F601" s="4">
        <f>((-0.43510205*(1.3/1.5))*0.6)-0.3</f>
        <v>-0.52625306599999999</v>
      </c>
    </row>
    <row r="602" spans="1:6" x14ac:dyDescent="0.4">
      <c r="A602" s="4">
        <v>525.255</v>
      </c>
      <c r="B602" s="4">
        <v>1.0597738000000001</v>
      </c>
      <c r="C602" s="4">
        <v>1.0353863000000001</v>
      </c>
      <c r="D602" s="4">
        <v>-30.223949000000001</v>
      </c>
      <c r="E602" s="4">
        <f>((-44.199351/(10/9))+-10.5)+-0.4</f>
        <v>-50.679415899999995</v>
      </c>
      <c r="F602" s="4">
        <f>((-0.43524143*(1.3/1.5))*0.6)-0.3</f>
        <v>-0.52632554359999995</v>
      </c>
    </row>
    <row r="603" spans="1:6" x14ac:dyDescent="0.4">
      <c r="A603" s="4">
        <v>526.12992500000007</v>
      </c>
      <c r="B603" s="4">
        <v>1.0596428</v>
      </c>
      <c r="C603" s="4">
        <v>1.0353068999999999</v>
      </c>
      <c r="D603" s="4">
        <v>-30.222745</v>
      </c>
      <c r="E603" s="4">
        <f>((-44.169849/(10/9))+-10.5)+-0.4</f>
        <v>-50.652864099999995</v>
      </c>
      <c r="F603" s="4">
        <f>((-0.43543878*(1.3/1.5))*0.6)-0.3</f>
        <v>-0.52642816560000005</v>
      </c>
    </row>
    <row r="604" spans="1:6" x14ac:dyDescent="0.4">
      <c r="A604" s="4">
        <v>527.00485000000003</v>
      </c>
      <c r="B604" s="4">
        <v>1.0596399000000001</v>
      </c>
      <c r="C604" s="4">
        <v>1.0351923000000001</v>
      </c>
      <c r="D604" s="4">
        <v>-30.221526000000001</v>
      </c>
      <c r="E604" s="4">
        <f>((-44.1277956/(10/9))+-10.5)+-0.4</f>
        <v>-50.615016039999993</v>
      </c>
      <c r="F604" s="4">
        <f>((-0.43568537*(1.3/1.5))*0.6)-0.3</f>
        <v>-0.52655639240000007</v>
      </c>
    </row>
    <row r="605" spans="1:6" x14ac:dyDescent="0.4">
      <c r="A605" s="4">
        <v>527.879775</v>
      </c>
      <c r="B605" s="4">
        <v>1.0598719999999999</v>
      </c>
      <c r="C605" s="4">
        <v>1.0352391999999999</v>
      </c>
      <c r="D605" s="4">
        <v>-30.220295999999998</v>
      </c>
      <c r="E605" s="4">
        <f>((-44.3026638/(10/9))+-10.5)+-0.4</f>
        <v>-50.772397419999997</v>
      </c>
      <c r="F605" s="4">
        <f>((-0.43598375*(1.3/1.5))*0.6)-0.3</f>
        <v>-0.52671154999999992</v>
      </c>
    </row>
    <row r="606" spans="1:6" x14ac:dyDescent="0.4">
      <c r="A606" s="4">
        <v>528.75469999999996</v>
      </c>
      <c r="B606" s="4">
        <v>1.059571</v>
      </c>
      <c r="C606" s="4">
        <v>1.0351733999999999</v>
      </c>
      <c r="D606" s="4">
        <v>-30.219217</v>
      </c>
      <c r="E606" s="4">
        <f>((-44.2409067/(10/9))+-10.5)+-0.4</f>
        <v>-50.716816029999997</v>
      </c>
      <c r="F606" s="4">
        <f>((-0.43616194*(1.3/1.5))*0.6)-0.3</f>
        <v>-0.52680420880000001</v>
      </c>
    </row>
    <row r="607" spans="1:6" x14ac:dyDescent="0.4">
      <c r="A607" s="4">
        <v>529.62962500000003</v>
      </c>
      <c r="B607" s="4">
        <v>1.0596588</v>
      </c>
      <c r="C607" s="4">
        <v>1.0350744999999999</v>
      </c>
      <c r="D607" s="4">
        <v>-30.218149999999998</v>
      </c>
      <c r="E607" s="4">
        <f>((-44.4078918/(10/9))+-10.5)+-0.4</f>
        <v>-50.867102619999997</v>
      </c>
      <c r="F607" s="4">
        <f>((-0.4364045*(1.3/1.5))*0.6)-0.3</f>
        <v>-0.52693034000000005</v>
      </c>
    </row>
    <row r="608" spans="1:6" x14ac:dyDescent="0.4">
      <c r="A608" s="4">
        <v>530.50454999999999</v>
      </c>
      <c r="B608" s="4">
        <v>1.0594558999999999</v>
      </c>
      <c r="C608" s="4">
        <v>1.0349237</v>
      </c>
      <c r="D608" s="4">
        <v>-30.216926000000001</v>
      </c>
      <c r="E608" s="4">
        <f>((-44.2687977/(10/9))+-10.5)+-0.4</f>
        <v>-50.74191793</v>
      </c>
      <c r="F608" s="4">
        <f>((-0.43670771*(1.3/1.5))*0.6)-0.3</f>
        <v>-0.52708800919999999</v>
      </c>
    </row>
    <row r="609" spans="1:6" x14ac:dyDescent="0.4">
      <c r="A609" s="4">
        <v>531.37947499999996</v>
      </c>
      <c r="B609" s="4">
        <v>1.0594273999999999</v>
      </c>
      <c r="C609" s="4">
        <v>1.0351382</v>
      </c>
      <c r="D609" s="4">
        <v>-30.215651999999999</v>
      </c>
      <c r="E609" s="4">
        <f>((-44.2686159/(10/9))+-10.5)+-0.4</f>
        <v>-50.741754309999997</v>
      </c>
      <c r="F609" s="4">
        <f>((-0.43700475*(1.3/1.5))*0.6)-0.3</f>
        <v>-0.52724247000000002</v>
      </c>
    </row>
    <row r="610" spans="1:6" x14ac:dyDescent="0.4">
      <c r="A610" s="4">
        <v>532.25440000000003</v>
      </c>
      <c r="B610" s="4">
        <v>1.0596186000000001</v>
      </c>
      <c r="C610" s="4">
        <v>1.0351329</v>
      </c>
      <c r="D610" s="4">
        <v>-30.214178999999998</v>
      </c>
      <c r="E610" s="4">
        <f>((-44.3523627/(10/9))+-10.5)+-0.4</f>
        <v>-50.817126429999995</v>
      </c>
      <c r="F610" s="4">
        <f>((-0.43721843*(1.3/1.5))*0.6)-0.3</f>
        <v>-0.52735358360000006</v>
      </c>
    </row>
    <row r="611" spans="1:6" x14ac:dyDescent="0.4">
      <c r="A611" s="4">
        <v>533.12932499999999</v>
      </c>
      <c r="B611" s="4">
        <v>1.0594257</v>
      </c>
      <c r="C611" s="4">
        <v>1.0350314</v>
      </c>
      <c r="D611" s="4">
        <v>-30.213123</v>
      </c>
      <c r="E611" s="4">
        <f>((-44.2040265/(10/9))+-10.5)+-0.4</f>
        <v>-50.683623849999996</v>
      </c>
      <c r="F611" s="4">
        <f>((-0.43742019*(1.3/1.5))*0.6)-0.3</f>
        <v>-0.52745849879999995</v>
      </c>
    </row>
    <row r="612" spans="1:6" x14ac:dyDescent="0.4">
      <c r="A612" s="4">
        <v>534.00424999999996</v>
      </c>
      <c r="B612" s="4">
        <v>1.0593167999999999</v>
      </c>
      <c r="C612" s="4">
        <v>1.0348097000000001</v>
      </c>
      <c r="D612" s="4">
        <v>-30.211976</v>
      </c>
      <c r="E612" s="4">
        <f>((-44.034786/(10/9))+-10.5)+-0.4</f>
        <v>-50.531307399999996</v>
      </c>
      <c r="F612" s="4">
        <f>((-0.43762913*(1.3/1.5))*0.6)-0.3</f>
        <v>-0.5275671475999999</v>
      </c>
    </row>
    <row r="613" spans="1:6" x14ac:dyDescent="0.4">
      <c r="A613" s="4">
        <v>534.87917500000003</v>
      </c>
      <c r="B613" s="4">
        <v>1.0594384999999999</v>
      </c>
      <c r="C613" s="4">
        <v>1.0350109000000001</v>
      </c>
      <c r="D613" s="4">
        <v>-30.21087</v>
      </c>
      <c r="E613" s="4">
        <f>((-44.2312416/(10/9))+-10.5)+-0.4</f>
        <v>-50.708117439999995</v>
      </c>
      <c r="F613" s="4">
        <f>((-0.43780693*(1.3/1.5))*0.6)-0.3</f>
        <v>-0.52765960359999997</v>
      </c>
    </row>
    <row r="614" spans="1:6" x14ac:dyDescent="0.4">
      <c r="A614" s="4">
        <v>535.75409999999999</v>
      </c>
      <c r="B614" s="4">
        <v>1.0594234</v>
      </c>
      <c r="C614" s="4">
        <v>1.0350364000000001</v>
      </c>
      <c r="D614" s="4">
        <v>-30.209578999999998</v>
      </c>
      <c r="E614" s="4">
        <f>((-44.0802522/(10/9))+-10.5)+-0.4</f>
        <v>-50.572226979999996</v>
      </c>
      <c r="F614" s="4">
        <f>((-0.43797952*(1.3/1.5))*0.6)-0.3</f>
        <v>-0.52774935039999993</v>
      </c>
    </row>
    <row r="615" spans="1:6" x14ac:dyDescent="0.4">
      <c r="A615" s="4">
        <v>536.62902500000007</v>
      </c>
      <c r="B615" s="4">
        <v>1.0593786000000001</v>
      </c>
      <c r="C615" s="4">
        <v>1.0350031</v>
      </c>
      <c r="D615" s="4">
        <v>-30.208058999999999</v>
      </c>
      <c r="E615" s="4">
        <f>((-44.0795376/(10/9))+-10.5)+-0.4</f>
        <v>-50.571583839999995</v>
      </c>
      <c r="F615" s="4">
        <f>((-0.43815234*(1.3/1.5))*0.6)-0.3</f>
        <v>-0.52783921680000001</v>
      </c>
    </row>
    <row r="616" spans="1:6" x14ac:dyDescent="0.4">
      <c r="A616" s="4">
        <v>537.50394999999992</v>
      </c>
      <c r="B616" s="4">
        <v>1.0592752999999999</v>
      </c>
      <c r="C616" s="4">
        <v>1.0350777</v>
      </c>
      <c r="D616" s="4">
        <v>-30.206468000000001</v>
      </c>
      <c r="E616" s="4">
        <f>((-44.1544887/(10/9))+-10.5)+-0.4</f>
        <v>-50.639039830000002</v>
      </c>
      <c r="F616" s="4">
        <f>((-0.43835852*(1.3/1.5))*0.6)-0.3</f>
        <v>-0.5279464304</v>
      </c>
    </row>
    <row r="617" spans="1:6" x14ac:dyDescent="0.4">
      <c r="A617" s="4">
        <v>538.37887499999999</v>
      </c>
      <c r="B617" s="4">
        <v>1.0592279</v>
      </c>
      <c r="C617" s="4">
        <v>1.0349633</v>
      </c>
      <c r="D617" s="4">
        <v>-30.205365</v>
      </c>
      <c r="E617" s="4">
        <f>((-44.3537361/(10/9))+-10.5)+-0.4</f>
        <v>-50.818362489999998</v>
      </c>
      <c r="F617" s="4">
        <f>((-0.4385497*(1.3/1.5))*0.6)-0.3</f>
        <v>-0.52804584399999999</v>
      </c>
    </row>
    <row r="618" spans="1:6" x14ac:dyDescent="0.4">
      <c r="A618" s="4">
        <v>539.25380000000007</v>
      </c>
      <c r="B618" s="4">
        <v>1.0592679</v>
      </c>
      <c r="C618" s="4">
        <v>1.035023</v>
      </c>
      <c r="D618" s="4">
        <v>-30.203928999999999</v>
      </c>
      <c r="E618" s="4">
        <f>((-44.1024174/(10/9))+-10.5)+-0.4</f>
        <v>-50.592175659999995</v>
      </c>
      <c r="F618" s="4">
        <f>((-0.43871135*(1.3/1.5))*0.6)-0.3</f>
        <v>-0.52812990199999998</v>
      </c>
    </row>
    <row r="619" spans="1:6" x14ac:dyDescent="0.4">
      <c r="A619" s="4">
        <v>540.12872500000003</v>
      </c>
      <c r="B619" s="4">
        <v>1.0592257</v>
      </c>
      <c r="C619" s="4">
        <v>1.0350168</v>
      </c>
      <c r="D619" s="4">
        <v>-30.202604000000001</v>
      </c>
      <c r="E619" s="4">
        <f>((-44.1583749/(10/9))+-10.5)+-0.4</f>
        <v>-50.642537409999996</v>
      </c>
      <c r="F619" s="4">
        <f>((-0.43892044*(1.3/1.5))*0.6)-0.3</f>
        <v>-0.52823862880000005</v>
      </c>
    </row>
    <row r="620" spans="1:6" x14ac:dyDescent="0.4">
      <c r="A620" s="4">
        <v>541.00364999999999</v>
      </c>
      <c r="B620" s="4">
        <v>1.0591415</v>
      </c>
      <c r="C620" s="4">
        <v>1.0347303999999999</v>
      </c>
      <c r="D620" s="4">
        <v>-30.201467000000001</v>
      </c>
      <c r="E620" s="4">
        <f>((-43.9798473/(10/9))+-10.5)+-0.4</f>
        <v>-50.481862569999997</v>
      </c>
      <c r="F620" s="4">
        <f>((-0.43916985*(1.3/1.5))*0.6)-0.3</f>
        <v>-0.52836832199999995</v>
      </c>
    </row>
    <row r="621" spans="1:6" x14ac:dyDescent="0.4">
      <c r="A621" s="4">
        <v>541.87857499999996</v>
      </c>
      <c r="B621" s="4">
        <v>1.0592252</v>
      </c>
      <c r="C621" s="4">
        <v>1.0350336</v>
      </c>
      <c r="D621" s="4">
        <v>-30.200132</v>
      </c>
      <c r="E621" s="4">
        <f>((-43.9721496/(10/9))+-10.5)+-0.4</f>
        <v>-50.474934640000001</v>
      </c>
      <c r="F621" s="4">
        <f>((-0.43939427*(1.3/1.5))*0.6)-0.3</f>
        <v>-0.52848502040000001</v>
      </c>
    </row>
    <row r="622" spans="1:6" x14ac:dyDescent="0.4">
      <c r="A622" s="4">
        <v>542.75350000000003</v>
      </c>
      <c r="B622" s="4">
        <v>1.0592550999999999</v>
      </c>
      <c r="C622" s="4">
        <v>1.0350282</v>
      </c>
      <c r="D622" s="4">
        <v>-30.198786999999999</v>
      </c>
      <c r="E622" s="4">
        <f>((-44.0474787/(10/9))+-10.5)+-0.4</f>
        <v>-50.542730829999996</v>
      </c>
      <c r="F622" s="4">
        <f>((-0.43966714*(1.3/1.5))*0.6)-0.3</f>
        <v>-0.52862691280000007</v>
      </c>
    </row>
    <row r="623" spans="1:6" x14ac:dyDescent="0.4">
      <c r="A623" s="4">
        <v>543.62842499999999</v>
      </c>
      <c r="B623" s="4">
        <v>1.0592343</v>
      </c>
      <c r="C623" s="4">
        <v>1.0350012</v>
      </c>
      <c r="D623" s="4">
        <v>-30.197386999999999</v>
      </c>
      <c r="E623" s="4">
        <f>((-44.0088372/(10/9))+-10.5)+-0.4</f>
        <v>-50.507953479999998</v>
      </c>
      <c r="F623" s="4">
        <f>((-0.43987888*(1.3/1.5))*0.6)-0.3</f>
        <v>-0.52873701760000003</v>
      </c>
    </row>
    <row r="624" spans="1:6" x14ac:dyDescent="0.4">
      <c r="A624" s="4">
        <v>544.50334999999995</v>
      </c>
      <c r="B624" s="4">
        <v>1.0591533</v>
      </c>
      <c r="C624" s="4">
        <v>1.0349423</v>
      </c>
      <c r="D624" s="4">
        <v>-30.195896999999999</v>
      </c>
      <c r="E624" s="4">
        <f>((-43.8942636/(10/9))+-10.5)+-0.4</f>
        <v>-50.404837239999999</v>
      </c>
      <c r="F624" s="4">
        <f>((-0.44010055*(1.3/1.5))*0.6)-0.3</f>
        <v>-0.528852286</v>
      </c>
    </row>
    <row r="625" spans="1:6" x14ac:dyDescent="0.4">
      <c r="A625" s="4">
        <v>545.37827500000003</v>
      </c>
      <c r="B625" s="4">
        <v>1.0590177000000001</v>
      </c>
      <c r="C625" s="4">
        <v>1.0346051000000001</v>
      </c>
      <c r="D625" s="4">
        <v>-30.195076999999998</v>
      </c>
      <c r="E625" s="4">
        <f>((-44.1098874/(10/9))+-10.5)+-0.4</f>
        <v>-50.598898659999996</v>
      </c>
      <c r="F625" s="4">
        <f>((-0.4403545*(1.3/1.5))*0.6)-0.3</f>
        <v>-0.52898434000000005</v>
      </c>
    </row>
    <row r="626" spans="1:6" x14ac:dyDescent="0.4">
      <c r="A626" s="4">
        <v>546.25319999999999</v>
      </c>
      <c r="B626" s="4">
        <v>1.0589629</v>
      </c>
      <c r="C626" s="4">
        <v>1.0346993</v>
      </c>
      <c r="D626" s="4">
        <v>-30.194139</v>
      </c>
      <c r="E626" s="4">
        <f>((-44.007993/(10/9))+-10.5)+-0.4</f>
        <v>-50.507193699999995</v>
      </c>
      <c r="F626" s="4">
        <f>((-0.44055355*(1.3/1.5))*0.6)-0.3</f>
        <v>-0.52908784600000003</v>
      </c>
    </row>
    <row r="627" spans="1:6" x14ac:dyDescent="0.4">
      <c r="A627" s="4">
        <v>547.12812499999995</v>
      </c>
      <c r="B627" s="4">
        <v>1.0589302</v>
      </c>
      <c r="C627" s="4">
        <v>1.0348580999999999</v>
      </c>
      <c r="D627" s="4">
        <v>-30.192848999999999</v>
      </c>
      <c r="E627" s="4">
        <f>((-43.8869817/(10/9))+-10.5)+-0.4</f>
        <v>-50.398283529999993</v>
      </c>
      <c r="F627" s="4">
        <f>((-0.44070065*(1.3/1.5))*0.6)-0.3</f>
        <v>-0.52916433799999996</v>
      </c>
    </row>
    <row r="628" spans="1:6" x14ac:dyDescent="0.4">
      <c r="A628" s="4">
        <v>548.00305000000003</v>
      </c>
      <c r="B628" s="4">
        <v>1.0588791</v>
      </c>
      <c r="C628" s="4">
        <v>1.0347550000000001</v>
      </c>
      <c r="D628" s="4">
        <v>-30.191240000000001</v>
      </c>
      <c r="E628" s="4">
        <f>((-43.9040484/(10/9))+-10.5)+-0.4</f>
        <v>-50.413643559999997</v>
      </c>
      <c r="F628" s="4">
        <f>((-0.44097909*(1.3/1.5))*0.6)-0.3</f>
        <v>-0.52930912679999997</v>
      </c>
    </row>
    <row r="629" spans="1:6" x14ac:dyDescent="0.4">
      <c r="A629" s="4">
        <v>548.87797499999999</v>
      </c>
      <c r="B629" s="4">
        <v>1.0588664999999999</v>
      </c>
      <c r="C629" s="4">
        <v>1.0345502</v>
      </c>
      <c r="D629" s="4">
        <v>-30.190317999999998</v>
      </c>
      <c r="E629" s="4">
        <f>((-43.8529347/(10/9))+-10.5)+-0.4</f>
        <v>-50.367641229999997</v>
      </c>
      <c r="F629" s="4">
        <f>((-0.44133094*(1.3/1.5))*0.6)-0.3</f>
        <v>-0.52949208879999998</v>
      </c>
    </row>
    <row r="630" spans="1:6" x14ac:dyDescent="0.4">
      <c r="A630" s="4">
        <v>549.75290000000007</v>
      </c>
      <c r="B630" s="4">
        <v>1.0588921</v>
      </c>
      <c r="C630" s="4">
        <v>1.0347048000000001</v>
      </c>
      <c r="D630" s="4">
        <v>-30.189246000000001</v>
      </c>
      <c r="E630" s="4">
        <f>((-43.9828137/(10/9))+-10.5)+-0.4</f>
        <v>-50.48453233</v>
      </c>
      <c r="F630" s="4">
        <f>((-0.44163921*(1.3/1.5))*0.6)-0.3</f>
        <v>-0.52965238920000002</v>
      </c>
    </row>
    <row r="631" spans="1:6" x14ac:dyDescent="0.4">
      <c r="A631" s="4">
        <v>550.62782499999992</v>
      </c>
      <c r="B631" s="4">
        <v>1.0589440000000001</v>
      </c>
      <c r="C631" s="4">
        <v>1.0346706999999999</v>
      </c>
      <c r="D631" s="4">
        <v>-30.187946</v>
      </c>
      <c r="E631" s="4">
        <f>((-43.8179328/(10/9))+-10.5)+-0.4</f>
        <v>-50.336139519999996</v>
      </c>
      <c r="F631" s="4">
        <f>((-0.44185156*(1.3/1.5))*0.6)-0.3</f>
        <v>-0.52976281119999991</v>
      </c>
    </row>
    <row r="632" spans="1:6" x14ac:dyDescent="0.4">
      <c r="A632" s="4">
        <v>551.50274999999999</v>
      </c>
      <c r="B632" s="4">
        <v>1.0588673</v>
      </c>
      <c r="C632" s="4">
        <v>1.0345962</v>
      </c>
      <c r="D632" s="4">
        <v>-30.186592999999998</v>
      </c>
      <c r="E632" s="4">
        <f>((-43.815519/(10/9))+-10.5)+-0.4</f>
        <v>-50.333967099999995</v>
      </c>
      <c r="F632" s="4">
        <f>((-0.44199905*(1.3/1.5))*0.6)-0.3</f>
        <v>-0.52983950600000007</v>
      </c>
    </row>
    <row r="633" spans="1:6" x14ac:dyDescent="0.4">
      <c r="A633" s="4">
        <v>552.37767500000007</v>
      </c>
      <c r="B633" s="4">
        <v>1.0588772</v>
      </c>
      <c r="C633" s="4">
        <v>1.0346545</v>
      </c>
      <c r="D633" s="4">
        <v>-30.185385999999998</v>
      </c>
      <c r="E633" s="4">
        <f>((-43.995915/(10/9))+-10.5)+-0.4</f>
        <v>-50.496323499999995</v>
      </c>
      <c r="F633" s="4">
        <f>((-0.44221184*(1.3/1.5))*0.6)-0.3</f>
        <v>-0.52995015680000002</v>
      </c>
    </row>
    <row r="634" spans="1:6" x14ac:dyDescent="0.4">
      <c r="A634" s="4">
        <v>553.25260000000003</v>
      </c>
      <c r="B634" s="4">
        <v>1.0587572000000001</v>
      </c>
      <c r="C634" s="4">
        <v>1.0348668999999999</v>
      </c>
      <c r="D634" s="4">
        <v>-30.184072</v>
      </c>
      <c r="E634" s="4">
        <f>((-43.8809913/(10/9))+-10.5)+-0.4</f>
        <v>-50.392892169999996</v>
      </c>
      <c r="F634" s="4">
        <f>((-0.44252938*(1.3/1.5))*0.6)-0.3</f>
        <v>-0.53011527759999999</v>
      </c>
    </row>
    <row r="635" spans="1:6" x14ac:dyDescent="0.4">
      <c r="A635" s="4">
        <v>554.12752499999999</v>
      </c>
      <c r="B635" s="4">
        <v>1.0588283999999999</v>
      </c>
      <c r="C635" s="4">
        <v>1.0348390000000001</v>
      </c>
      <c r="D635" s="4">
        <v>-30.183170999999998</v>
      </c>
      <c r="E635" s="4">
        <f>((-43.9109703/(10/9))+-10.5)+-0.4</f>
        <v>-50.419873269999997</v>
      </c>
      <c r="F635" s="4">
        <f>((-0.44276437*(1.3/1.5))*0.6)-0.3</f>
        <v>-0.53023747239999997</v>
      </c>
    </row>
    <row r="636" spans="1:6" x14ac:dyDescent="0.4">
      <c r="A636" s="4">
        <v>555.00244999999995</v>
      </c>
      <c r="B636" s="4">
        <v>1.0587206</v>
      </c>
      <c r="C636" s="4">
        <v>1.0345918000000001</v>
      </c>
      <c r="D636" s="4">
        <v>-30.182009999999998</v>
      </c>
      <c r="E636" s="4">
        <f>((-43.8517845/(10/9))+-10.5)+-0.4</f>
        <v>-50.366606049999994</v>
      </c>
      <c r="F636" s="4">
        <f>((-0.44296858*(1.3/1.5))*0.6)-0.3</f>
        <v>-0.53034366160000002</v>
      </c>
    </row>
    <row r="637" spans="1:6" x14ac:dyDescent="0.4">
      <c r="A637" s="4">
        <v>555.87737500000003</v>
      </c>
      <c r="B637" s="4">
        <v>1.0588070999999999</v>
      </c>
      <c r="C637" s="4">
        <v>1.0344696</v>
      </c>
      <c r="D637" s="4">
        <v>-30.180827000000001</v>
      </c>
      <c r="E637" s="4">
        <f>((-43.8188634/(10/9))+-10.5)+-0.4</f>
        <v>-50.336977059999995</v>
      </c>
      <c r="F637" s="4">
        <f>((-0.44319692*(1.3/1.5))*0.6)-0.3</f>
        <v>-0.53046239839999998</v>
      </c>
    </row>
    <row r="638" spans="1:6" x14ac:dyDescent="0.4">
      <c r="A638" s="4">
        <v>556.75229999999999</v>
      </c>
      <c r="B638" s="4">
        <v>1.0586916</v>
      </c>
      <c r="C638" s="4">
        <v>1.0346377</v>
      </c>
      <c r="D638" s="4">
        <v>-30.179586</v>
      </c>
      <c r="E638" s="4">
        <f>((-43.9375572/(10/9))+-10.5)+-0.4</f>
        <v>-50.443801479999998</v>
      </c>
      <c r="F638" s="4">
        <f>((-0.44336748*(1.3/1.5))*0.6)-0.3</f>
        <v>-0.53055108959999997</v>
      </c>
    </row>
    <row r="639" spans="1:6" x14ac:dyDescent="0.4">
      <c r="A639" s="4">
        <v>557.62722499999995</v>
      </c>
      <c r="B639" s="4">
        <v>1.0586978</v>
      </c>
      <c r="C639" s="4">
        <v>1.0345991999999999</v>
      </c>
      <c r="D639" s="4">
        <v>-30.178439000000001</v>
      </c>
      <c r="E639" s="4">
        <f>((-43.7816439/(10/9))+-10.5)+-0.4</f>
        <v>-50.303479509999995</v>
      </c>
      <c r="F639" s="4">
        <f>((-0.44361964*(1.3/1.5))*0.6)-0.3</f>
        <v>-0.53068221279999994</v>
      </c>
    </row>
    <row r="640" spans="1:6" x14ac:dyDescent="0.4">
      <c r="A640" s="4">
        <v>558.50215000000003</v>
      </c>
      <c r="B640" s="4">
        <v>1.0585726</v>
      </c>
      <c r="C640" s="4">
        <v>1.0347023</v>
      </c>
      <c r="D640" s="4">
        <v>-30.177257000000001</v>
      </c>
      <c r="E640" s="4">
        <f>((-43.7287995/(10/9))+-10.5)+-0.4</f>
        <v>-50.255919549999994</v>
      </c>
      <c r="F640" s="4">
        <f>((-0.44393924*(1.3/1.5))*0.6)-0.3</f>
        <v>-0.53084840479999995</v>
      </c>
    </row>
    <row r="641" spans="1:6" x14ac:dyDescent="0.4">
      <c r="A641" s="4">
        <v>559.37707499999999</v>
      </c>
      <c r="B641" s="4">
        <v>1.0587696</v>
      </c>
      <c r="C641" s="4">
        <v>1.0344757</v>
      </c>
      <c r="D641" s="4">
        <v>-30.176334000000001</v>
      </c>
      <c r="E641" s="4">
        <f>((-43.8505551/(10/9))+-10.5)+-0.4</f>
        <v>-50.365499589999999</v>
      </c>
      <c r="F641" s="4">
        <f>((-0.44419661*(1.3/1.5))*0.6)-0.3</f>
        <v>-0.53098223719999993</v>
      </c>
    </row>
    <row r="642" spans="1:6" x14ac:dyDescent="0.4">
      <c r="A642" s="4">
        <v>560.25199999999995</v>
      </c>
      <c r="B642" s="4">
        <v>1.0587492000000001</v>
      </c>
      <c r="C642" s="4">
        <v>1.0345922000000001</v>
      </c>
      <c r="D642" s="4">
        <v>-30.174947</v>
      </c>
      <c r="E642" s="4">
        <f>((-43.8329124/(10/9))+-10.5)+-0.4</f>
        <v>-50.349621159999998</v>
      </c>
      <c r="F642" s="4">
        <f>((-0.44448867*(1.3/1.5))*0.6)-0.3</f>
        <v>-0.53113410839999997</v>
      </c>
    </row>
    <row r="643" spans="1:6" x14ac:dyDescent="0.4">
      <c r="A643" s="4">
        <v>561.12692500000003</v>
      </c>
      <c r="B643" s="4">
        <v>1.0585294000000001</v>
      </c>
      <c r="C643" s="4">
        <v>1.0344861999999999</v>
      </c>
      <c r="D643" s="4">
        <v>-30.173645999999998</v>
      </c>
      <c r="E643" s="4">
        <f>((-43.8048423/(10/9))+-10.5)+-0.4</f>
        <v>-50.324358069999995</v>
      </c>
      <c r="F643" s="4">
        <f>((-0.44478118*(1.3/1.5))*0.6)-0.3</f>
        <v>-0.53128621359999995</v>
      </c>
    </row>
    <row r="644" spans="1:6" x14ac:dyDescent="0.4">
      <c r="A644" s="4">
        <v>562.00184999999999</v>
      </c>
      <c r="B644" s="4">
        <v>1.0585784</v>
      </c>
      <c r="C644" s="4">
        <v>1.0344267</v>
      </c>
      <c r="D644" s="4">
        <v>-30.172431</v>
      </c>
      <c r="E644" s="4">
        <f>((-43.7827599/(10/9))+-10.5)+-0.4</f>
        <v>-50.304483910000002</v>
      </c>
      <c r="F644" s="4">
        <f>((-0.44501212*(1.3/1.5))*0.6)-0.3</f>
        <v>-0.53140630239999997</v>
      </c>
    </row>
    <row r="645" spans="1:6" x14ac:dyDescent="0.4">
      <c r="A645" s="4">
        <v>562.87677500000007</v>
      </c>
      <c r="B645" s="4">
        <v>1.0585256000000001</v>
      </c>
      <c r="C645" s="4">
        <v>1.0345363999999999</v>
      </c>
      <c r="D645" s="4">
        <v>-30.170821</v>
      </c>
      <c r="E645" s="4">
        <f>((-43.691175/(10/9))+-10.5)+-0.4</f>
        <v>-50.222057499999998</v>
      </c>
      <c r="F645" s="4">
        <f>((-0.44519067*(1.3/1.5))*0.6)-0.3</f>
        <v>-0.53149914840000001</v>
      </c>
    </row>
    <row r="646" spans="1:6" x14ac:dyDescent="0.4">
      <c r="A646" s="4">
        <v>563.75169999999991</v>
      </c>
      <c r="B646" s="4">
        <v>1.0583963000000001</v>
      </c>
      <c r="C646" s="4">
        <v>1.0345135000000001</v>
      </c>
      <c r="D646" s="4">
        <v>-30.169630999999999</v>
      </c>
      <c r="E646" s="4">
        <f>((-43.7390163/(10/9))+-10.5)+-0.4</f>
        <v>-50.265114670000003</v>
      </c>
      <c r="F646" s="4">
        <f>((-0.44542649*(1.3/1.5))*0.6)-0.3</f>
        <v>-0.53162177479999995</v>
      </c>
    </row>
    <row r="647" spans="1:6" x14ac:dyDescent="0.4">
      <c r="A647" s="4">
        <v>564.62662499999999</v>
      </c>
      <c r="B647" s="4">
        <v>1.0584624</v>
      </c>
      <c r="C647" s="4">
        <v>1.0344819999999999</v>
      </c>
      <c r="D647" s="4">
        <v>-30.168772999999998</v>
      </c>
      <c r="E647" s="4">
        <f>((-43.6662216/(10/9))+-10.5)+-0.4</f>
        <v>-50.19959944</v>
      </c>
      <c r="F647" s="4">
        <f>((-0.44560659*(1.3/1.5))*0.6)-0.3</f>
        <v>-0.53171542679999995</v>
      </c>
    </row>
    <row r="648" spans="1:6" x14ac:dyDescent="0.4">
      <c r="A648" s="4">
        <v>565.50155000000007</v>
      </c>
      <c r="B648" s="4">
        <v>1.0583397999999999</v>
      </c>
      <c r="C648" s="4">
        <v>1.0344979000000001</v>
      </c>
      <c r="D648" s="4">
        <v>-30.167317999999998</v>
      </c>
      <c r="E648" s="4">
        <f>((-43.7404068/(10/9))+-10.5)+-0.4</f>
        <v>-50.266366120000001</v>
      </c>
      <c r="F648" s="4">
        <f>((-0.4457579*(1.3/1.5))*0.6)-0.3</f>
        <v>-0.53179410799999993</v>
      </c>
    </row>
    <row r="649" spans="1:6" x14ac:dyDescent="0.4">
      <c r="A649" s="4">
        <v>566.37647500000003</v>
      </c>
      <c r="B649" s="4">
        <v>1.0583469000000001</v>
      </c>
      <c r="C649" s="4">
        <v>1.0342627</v>
      </c>
      <c r="D649" s="4">
        <v>-30.165876000000001</v>
      </c>
      <c r="E649" s="4">
        <f>((-43.7393808/(10/9))+-10.5)+-0.4</f>
        <v>-50.265442719999996</v>
      </c>
      <c r="F649" s="4">
        <f>((-0.44588327*(1.3/1.5))*0.6)-0.3</f>
        <v>-0.53185930039999996</v>
      </c>
    </row>
    <row r="650" spans="1:6" x14ac:dyDescent="0.4">
      <c r="A650" s="4">
        <v>567.25139999999999</v>
      </c>
      <c r="B650" s="4">
        <v>1.0582917999999999</v>
      </c>
      <c r="C650" s="4">
        <v>1.0343945999999999</v>
      </c>
      <c r="D650" s="4">
        <v>-30.164816999999999</v>
      </c>
      <c r="E650" s="4">
        <f>((-43.7012001/(10/9))+-10.5)+-0.4</f>
        <v>-50.231080089999999</v>
      </c>
      <c r="F650" s="4">
        <f>((-0.44605067*(1.3/1.5))*0.6)-0.3</f>
        <v>-0.53194634839999999</v>
      </c>
    </row>
    <row r="651" spans="1:6" x14ac:dyDescent="0.4">
      <c r="A651" s="4">
        <v>568.12632499999995</v>
      </c>
      <c r="B651" s="4">
        <v>1.0582392</v>
      </c>
      <c r="C651" s="4">
        <v>1.0340966</v>
      </c>
      <c r="D651" s="4">
        <v>-30.163318</v>
      </c>
      <c r="E651" s="4">
        <f>((-43.731972/(10/9))+-10.5)+-0.4</f>
        <v>-50.258774799999998</v>
      </c>
      <c r="F651" s="4">
        <f>((-0.44623801*(1.3/1.5))*0.6)-0.3</f>
        <v>-0.53204376519999996</v>
      </c>
    </row>
    <row r="652" spans="1:6" x14ac:dyDescent="0.4">
      <c r="A652" s="4">
        <v>569.00125000000003</v>
      </c>
      <c r="B652" s="4">
        <v>1.0581894999999999</v>
      </c>
      <c r="C652" s="4">
        <v>1.0341544</v>
      </c>
      <c r="D652" s="4">
        <v>-30.162042</v>
      </c>
      <c r="E652" s="4">
        <f>((-43.7096556/(10/9))+-10.5)+-0.4</f>
        <v>-50.238690039999994</v>
      </c>
      <c r="F652" s="4">
        <f>((-0.44643098*(1.3/1.5))*0.6)-0.3</f>
        <v>-0.53214410959999991</v>
      </c>
    </row>
    <row r="653" spans="1:6" x14ac:dyDescent="0.4">
      <c r="A653" s="4">
        <v>569.8761750000001</v>
      </c>
      <c r="B653" s="4">
        <v>1.0580953</v>
      </c>
      <c r="C653" s="4">
        <v>1.034219</v>
      </c>
      <c r="D653" s="4">
        <v>-30.16047</v>
      </c>
      <c r="E653" s="4">
        <f>((-43.6847823/(10/9))+-10.5)+-0.4</f>
        <v>-50.21630407</v>
      </c>
      <c r="F653" s="4">
        <f>((-0.4465982*(1.3/1.5))*0.6)-0.3</f>
        <v>-0.53223106399999998</v>
      </c>
    </row>
    <row r="654" spans="1:6" x14ac:dyDescent="0.4">
      <c r="A654" s="4">
        <v>570.75109999999995</v>
      </c>
      <c r="B654" s="4">
        <v>1.0583762000000001</v>
      </c>
      <c r="C654" s="4">
        <v>1.0342389000000001</v>
      </c>
      <c r="D654" s="4">
        <v>-30.159278</v>
      </c>
      <c r="E654" s="4">
        <f>((-43.609131/(10/9))+-10.5)+-0.4</f>
        <v>-50.148217899999992</v>
      </c>
      <c r="F654" s="4">
        <f>((-0.44673154*(1.3/1.5))*0.6)-0.3</f>
        <v>-0.53230040079999996</v>
      </c>
    </row>
    <row r="655" spans="1:6" x14ac:dyDescent="0.4">
      <c r="A655" s="4">
        <v>571.62602500000003</v>
      </c>
      <c r="B655" s="4">
        <v>1.0582100999999999</v>
      </c>
      <c r="C655" s="4">
        <v>1.0343994999999999</v>
      </c>
      <c r="D655" s="4">
        <v>-30.158127999999998</v>
      </c>
      <c r="E655" s="4">
        <f>((-43.6692501/(10/9))+-10.5)+-0.4</f>
        <v>-50.202325089999995</v>
      </c>
      <c r="F655" s="4">
        <f>((-0.44697505*(1.3/1.5))*0.6)-0.3</f>
        <v>-0.53242702600000003</v>
      </c>
    </row>
    <row r="656" spans="1:6" x14ac:dyDescent="0.4">
      <c r="A656" s="4">
        <v>572.50094999999999</v>
      </c>
      <c r="B656" s="4">
        <v>1.0581043999999999</v>
      </c>
      <c r="C656" s="4">
        <v>1.0341861999999999</v>
      </c>
      <c r="D656" s="4">
        <v>-30.157208999999998</v>
      </c>
      <c r="E656" s="4">
        <f>((-43.5564036/(10/9))+-10.5)+-0.4</f>
        <v>-50.100763239999999</v>
      </c>
      <c r="F656" s="4">
        <f>((-0.44720972*(1.3/1.5))*0.6)-0.3</f>
        <v>-0.5325490544</v>
      </c>
    </row>
    <row r="657" spans="1:6" x14ac:dyDescent="0.4">
      <c r="A657" s="4">
        <v>573.37587499999995</v>
      </c>
      <c r="B657" s="4">
        <v>1.0580350000000001</v>
      </c>
      <c r="C657" s="4">
        <v>1.0342073000000001</v>
      </c>
      <c r="D657" s="4">
        <v>-30.156006999999999</v>
      </c>
      <c r="E657" s="4">
        <f>((-43.4145114/(10/9))+-10.5)+-0.4</f>
        <v>-49.973060259999997</v>
      </c>
      <c r="F657" s="4">
        <f>((-0.44739762*(1.3/1.5))*0.6)-0.3</f>
        <v>-0.53264676239999997</v>
      </c>
    </row>
    <row r="658" spans="1:6" x14ac:dyDescent="0.4">
      <c r="A658" s="4">
        <v>574.25080000000003</v>
      </c>
      <c r="B658" s="4">
        <v>1.0580259999999999</v>
      </c>
      <c r="C658" s="4">
        <v>1.0341591000000001</v>
      </c>
      <c r="D658" s="4">
        <v>-30.154640999999998</v>
      </c>
      <c r="E658" s="4">
        <f>((-43.5658581/(10/9))+-10.5)+-0.4</f>
        <v>-50.10927229</v>
      </c>
      <c r="F658" s="4">
        <f>((-0.44759929*(1.3/1.5))*0.6)-0.3</f>
        <v>-0.53275163079999999</v>
      </c>
    </row>
    <row r="659" spans="1:6" x14ac:dyDescent="0.4">
      <c r="A659" s="4">
        <v>575.12572499999999</v>
      </c>
      <c r="B659" s="4">
        <v>1.0579505</v>
      </c>
      <c r="C659" s="4">
        <v>1.0339552999999999</v>
      </c>
      <c r="D659" s="4">
        <v>-30.153725999999999</v>
      </c>
      <c r="E659" s="4">
        <f>((-43.5706893/(10/9))+-10.5)+-0.4</f>
        <v>-50.113620369999992</v>
      </c>
      <c r="F659" s="4">
        <f>((-0.4477587*(1.3/1.5))*0.6)-0.3</f>
        <v>-0.53283452399999998</v>
      </c>
    </row>
    <row r="660" spans="1:6" x14ac:dyDescent="0.4">
      <c r="A660" s="4">
        <v>576.00065000000006</v>
      </c>
      <c r="B660" s="4">
        <v>1.0578605999999999</v>
      </c>
      <c r="C660" s="4">
        <v>1.0339541000000001</v>
      </c>
      <c r="D660" s="4">
        <v>-30.152379</v>
      </c>
      <c r="E660" s="4">
        <f>((-43.439049/(10/9))+-10.5)+-0.4</f>
        <v>-49.995144099999997</v>
      </c>
      <c r="F660" s="4">
        <f>((-0.44788447*(1.3/1.5))*0.6)-0.3</f>
        <v>-0.5328999244</v>
      </c>
    </row>
    <row r="661" spans="1:6" x14ac:dyDescent="0.4">
      <c r="A661" s="4">
        <v>576.87557499999991</v>
      </c>
      <c r="B661" s="4">
        <v>1.0578808</v>
      </c>
      <c r="C661" s="4">
        <v>1.0340446999999999</v>
      </c>
      <c r="D661" s="4">
        <v>-30.151384</v>
      </c>
      <c r="E661" s="4">
        <f>((-43.4748159/(10/9))+-10.5)+-0.4</f>
        <v>-50.027334310000001</v>
      </c>
      <c r="F661" s="4">
        <f>((-0.44804144*(1.3/1.5))*0.6)-0.3</f>
        <v>-0.53298154880000004</v>
      </c>
    </row>
    <row r="662" spans="1:6" x14ac:dyDescent="0.4">
      <c r="A662" s="4">
        <v>577.75049999999999</v>
      </c>
      <c r="B662" s="4">
        <v>1.0579780000000001</v>
      </c>
      <c r="C662" s="4">
        <v>1.0340358999999999</v>
      </c>
      <c r="D662" s="4">
        <v>-30.150023999999998</v>
      </c>
      <c r="E662" s="4">
        <f>((-43.5969288/(10/9))+-10.5)+-0.4</f>
        <v>-50.137235919999995</v>
      </c>
      <c r="F662" s="4">
        <f>((-0.44819817*(1.3/1.5))*0.6)-0.3</f>
        <v>-0.53306304839999996</v>
      </c>
    </row>
    <row r="663" spans="1:6" x14ac:dyDescent="0.4">
      <c r="A663" s="4">
        <v>578.62542500000006</v>
      </c>
      <c r="B663" s="4">
        <v>1.057909</v>
      </c>
      <c r="C663" s="4">
        <v>1.0339938</v>
      </c>
      <c r="D663" s="4">
        <v>-30.148955999999998</v>
      </c>
      <c r="E663" s="4">
        <f>((-43.4713653/(10/9))+-10.5)+-0.4</f>
        <v>-50.024228770000001</v>
      </c>
      <c r="F663" s="4">
        <f>((-0.44838464*(1.3/1.5))*0.6)-0.3</f>
        <v>-0.53316001280000003</v>
      </c>
    </row>
    <row r="664" spans="1:6" x14ac:dyDescent="0.4">
      <c r="A664" s="4">
        <v>579.50035000000003</v>
      </c>
      <c r="B664" s="4">
        <v>1.0578171000000001</v>
      </c>
      <c r="C664" s="4">
        <v>1.0340699</v>
      </c>
      <c r="D664" s="4">
        <v>-30.147689</v>
      </c>
      <c r="E664" s="4">
        <f>((-43.4838726/(10/9))+-10.5)+-0.4</f>
        <v>-50.035485339999994</v>
      </c>
      <c r="F664" s="4">
        <f>((-0.44854057*(1.3/1.5))*0.6)-0.3</f>
        <v>-0.53324109640000006</v>
      </c>
    </row>
    <row r="665" spans="1:6" x14ac:dyDescent="0.4">
      <c r="A665" s="4">
        <v>580.37527499999999</v>
      </c>
      <c r="B665" s="4">
        <v>1.0577004000000001</v>
      </c>
      <c r="C665" s="4">
        <v>1.0340753</v>
      </c>
      <c r="D665" s="4">
        <v>-30.146080999999999</v>
      </c>
      <c r="E665" s="4">
        <f>((-43.450866/(10/9))+-10.5)+-0.4</f>
        <v>-50.005779399999994</v>
      </c>
      <c r="F665" s="4">
        <f>((-0.44867671*(1.3/1.5))*0.6)-0.3</f>
        <v>-0.53331188919999994</v>
      </c>
    </row>
    <row r="666" spans="1:6" x14ac:dyDescent="0.4">
      <c r="A666" s="4">
        <v>581.25019999999995</v>
      </c>
      <c r="B666" s="4">
        <v>1.0576776000000001</v>
      </c>
      <c r="C666" s="4">
        <v>1.0341982000000001</v>
      </c>
      <c r="D666" s="4">
        <v>-30.144947999999999</v>
      </c>
      <c r="E666" s="4">
        <f>((-43.6033359/(10/9))+-10.5)+-0.4</f>
        <v>-50.143002309999993</v>
      </c>
      <c r="F666" s="4">
        <f>((-0.44882631*(1.3/1.5))*0.6)-0.3</f>
        <v>-0.53338968119999997</v>
      </c>
    </row>
    <row r="667" spans="1:6" x14ac:dyDescent="0.4">
      <c r="A667" s="4">
        <v>582.12512500000003</v>
      </c>
      <c r="B667" s="4">
        <v>1.0575559999999999</v>
      </c>
      <c r="C667" s="4">
        <v>1.0339130999999999</v>
      </c>
      <c r="D667" s="4">
        <v>-30.143926</v>
      </c>
      <c r="E667" s="4">
        <f>((-43.4393307/(10/9))+-10.5)+-0.4</f>
        <v>-49.995397629999999</v>
      </c>
      <c r="F667" s="4">
        <f>((-0.44896144*(1.3/1.5))*0.6)-0.3</f>
        <v>-0.53345994880000003</v>
      </c>
    </row>
    <row r="668" spans="1:6" x14ac:dyDescent="0.4">
      <c r="A668" s="4">
        <v>583.0000500000001</v>
      </c>
      <c r="B668" s="4">
        <v>1.0574965000000001</v>
      </c>
      <c r="C668" s="4">
        <v>1.0339543</v>
      </c>
      <c r="D668" s="4">
        <v>-30.142904999999999</v>
      </c>
      <c r="E668" s="4">
        <f>((-43.4666106/(10/9))+-10.5)+-0.4</f>
        <v>-50.019949539999999</v>
      </c>
      <c r="F668" s="4">
        <f>((-0.44907096*(1.3/1.5))*0.6)-0.3</f>
        <v>-0.53351689920000001</v>
      </c>
    </row>
    <row r="669" spans="1:6" x14ac:dyDescent="0.4">
      <c r="A669" s="4">
        <v>583.87497499999995</v>
      </c>
      <c r="B669" s="4">
        <v>1.0575110999999999</v>
      </c>
      <c r="C669" s="4">
        <v>1.0339273</v>
      </c>
      <c r="D669" s="4">
        <v>-30.141897999999998</v>
      </c>
      <c r="E669" s="4">
        <f>((-43.2990387/(10/9))+-10.5)+-0.4</f>
        <v>-49.869134829999993</v>
      </c>
      <c r="F669" s="4">
        <f>((-0.44911495*(1.3/1.5))*0.6)-0.3</f>
        <v>-0.53353977399999997</v>
      </c>
    </row>
    <row r="670" spans="1:6" x14ac:dyDescent="0.4">
      <c r="A670" s="4">
        <v>584.74990000000003</v>
      </c>
      <c r="B670" s="4">
        <v>1.0574503</v>
      </c>
      <c r="C670" s="4">
        <v>1.0338879000000001</v>
      </c>
      <c r="D670" s="4">
        <v>-30.140433999999999</v>
      </c>
      <c r="E670" s="4">
        <f>((-43.2782604/(10/9))+-10.5)+-0.4</f>
        <v>-49.850434359999994</v>
      </c>
      <c r="F670" s="4">
        <f>((-0.44919246*(1.3/1.5))*0.6)-0.3</f>
        <v>-0.53358007920000006</v>
      </c>
    </row>
    <row r="671" spans="1:6" x14ac:dyDescent="0.4">
      <c r="A671" s="4">
        <v>585.62482499999999</v>
      </c>
      <c r="B671" s="4">
        <v>1.0575804</v>
      </c>
      <c r="C671" s="4">
        <v>1.0339195999999999</v>
      </c>
      <c r="D671" s="4">
        <v>-30.138954999999999</v>
      </c>
      <c r="E671" s="4">
        <f>((-43.4497806/(10/9))+-10.5)+-0.4</f>
        <v>-50.004802539999993</v>
      </c>
      <c r="F671" s="4">
        <f>((-0.44931716*(1.3/1.5))*0.6)-0.3</f>
        <v>-0.53364492320000001</v>
      </c>
    </row>
    <row r="672" spans="1:6" x14ac:dyDescent="0.4">
      <c r="A672" s="4">
        <v>586.49974999999995</v>
      </c>
      <c r="B672" s="4">
        <v>1.0574294</v>
      </c>
      <c r="C672" s="4">
        <v>1.0337784000000001</v>
      </c>
      <c r="D672" s="4">
        <v>-30.137830000000001</v>
      </c>
      <c r="E672" s="4">
        <f>((-43.4095335/(10/9))+-10.5)+-0.4</f>
        <v>-49.968580150000001</v>
      </c>
      <c r="F672" s="4">
        <f>((-0.44951242*(1.3/1.5))*0.6)-0.3</f>
        <v>-0.53374645840000001</v>
      </c>
    </row>
    <row r="673" spans="1:6" x14ac:dyDescent="0.4">
      <c r="A673" s="4">
        <v>587.37467500000002</v>
      </c>
      <c r="B673" s="4">
        <v>1.0574219</v>
      </c>
      <c r="C673" s="4">
        <v>1.0338969</v>
      </c>
      <c r="D673" s="4">
        <v>-30.136896999999998</v>
      </c>
      <c r="E673" s="4">
        <f>((-43.3716129/(10/9))+-10.5)+-0.4</f>
        <v>-49.934451609999996</v>
      </c>
      <c r="F673" s="4">
        <f>((-0.44971827*(1.3/1.5))*0.6)-0.3</f>
        <v>-0.53385350040000001</v>
      </c>
    </row>
    <row r="674" spans="1:6" x14ac:dyDescent="0.4">
      <c r="A674" s="4">
        <v>588.24959999999999</v>
      </c>
      <c r="B674" s="4">
        <v>1.0571862000000001</v>
      </c>
      <c r="C674" s="4">
        <v>1.0339299</v>
      </c>
      <c r="D674" s="4">
        <v>-30.135822000000001</v>
      </c>
      <c r="E674" s="4">
        <f>((-43.4123622/(10/9))+-10.5)+-0.4</f>
        <v>-49.971125979999997</v>
      </c>
      <c r="F674" s="4">
        <f>((-0.44983128*(1.3/1.5))*0.6)-0.3</f>
        <v>-0.53391226559999994</v>
      </c>
    </row>
    <row r="675" spans="1:6" x14ac:dyDescent="0.4">
      <c r="A675" s="4">
        <v>589.12452500000006</v>
      </c>
      <c r="B675" s="4">
        <v>1.0572402000000001</v>
      </c>
      <c r="C675" s="4">
        <v>1.0337759</v>
      </c>
      <c r="D675" s="4">
        <v>-30.134665999999999</v>
      </c>
      <c r="E675" s="4">
        <f>((-43.3621206/(10/9))+-10.5)+-0.4</f>
        <v>-49.925908539999995</v>
      </c>
      <c r="F675" s="4">
        <f>((-0.4499644*(1.3/1.5))*0.6)-0.3</f>
        <v>-0.533981488</v>
      </c>
    </row>
    <row r="676" spans="1:6" x14ac:dyDescent="0.4">
      <c r="A676" s="4">
        <v>589.99944999999991</v>
      </c>
      <c r="B676" s="4">
        <v>1.0571778999999999</v>
      </c>
      <c r="C676" s="4">
        <v>1.0336860000000001</v>
      </c>
      <c r="D676" s="4">
        <v>-30.133551999999998</v>
      </c>
      <c r="E676" s="4">
        <f>((-43.2946953/(10/9))+-10.5)+-0.4</f>
        <v>-49.865225769999995</v>
      </c>
      <c r="F676" s="4">
        <f>((-0.45006832*(1.3/1.5))*0.6)-0.3</f>
        <v>-0.53403552640000007</v>
      </c>
    </row>
    <row r="677" spans="1:6" x14ac:dyDescent="0.4">
      <c r="A677" s="4">
        <v>590.87437499999999</v>
      </c>
      <c r="B677" s="4">
        <v>1.0571900999999999</v>
      </c>
      <c r="C677" s="4">
        <v>1.0337259999999999</v>
      </c>
      <c r="D677" s="4">
        <v>-30.132535000000001</v>
      </c>
      <c r="E677" s="4">
        <f>((-43.360524/(10/9))+-10.5)+-0.4</f>
        <v>-49.924471599999997</v>
      </c>
      <c r="F677" s="4">
        <f>((-0.45021322*(1.3/1.5))*0.6)-0.3</f>
        <v>-0.53411087440000005</v>
      </c>
    </row>
    <row r="678" spans="1:6" x14ac:dyDescent="0.4">
      <c r="A678" s="4">
        <v>591.74930000000006</v>
      </c>
      <c r="B678" s="4">
        <v>1.0572337999999999</v>
      </c>
      <c r="C678" s="4">
        <v>1.0336704999999999</v>
      </c>
      <c r="D678" s="4">
        <v>-30.131205999999999</v>
      </c>
      <c r="E678" s="4">
        <f>((-43.2037179/(10/9))+-10.5)+-0.4</f>
        <v>-49.783346109999997</v>
      </c>
      <c r="F678" s="4">
        <f>((-0.45039469*(1.3/1.5))*0.6)-0.3</f>
        <v>-0.53420523880000004</v>
      </c>
    </row>
    <row r="679" spans="1:6" x14ac:dyDescent="0.4">
      <c r="A679" s="4">
        <v>592.62422500000002</v>
      </c>
      <c r="B679" s="4">
        <v>1.0571822</v>
      </c>
      <c r="C679" s="4">
        <v>1.0337075</v>
      </c>
      <c r="D679" s="4">
        <v>-30.129891999999998</v>
      </c>
      <c r="E679" s="4">
        <f>((-43.3748196/(10/9))+-10.5)+-0.4</f>
        <v>-49.937337639999996</v>
      </c>
      <c r="F679" s="4">
        <f>((-0.45055202*(1.3/1.5))*0.6)-0.3</f>
        <v>-0.53428705039999991</v>
      </c>
    </row>
    <row r="680" spans="1:6" x14ac:dyDescent="0.4">
      <c r="A680" s="4">
        <v>593.49914999999999</v>
      </c>
      <c r="B680" s="4">
        <v>1.0569352999999999</v>
      </c>
      <c r="C680" s="4">
        <v>1.0335943000000001</v>
      </c>
      <c r="D680" s="4">
        <v>-30.128561999999999</v>
      </c>
      <c r="E680" s="4">
        <f>((-43.2206127/(10/9))+-10.5)+-0.4</f>
        <v>-49.798551429999996</v>
      </c>
      <c r="F680" s="4">
        <f>((-0.45070508*(1.3/1.5))*0.6)-0.3</f>
        <v>-0.53436664159999991</v>
      </c>
    </row>
    <row r="681" spans="1:6" x14ac:dyDescent="0.4">
      <c r="A681" s="4">
        <v>594.37407499999995</v>
      </c>
      <c r="B681" s="4">
        <v>1.0568233</v>
      </c>
      <c r="C681" s="4">
        <v>1.0335854</v>
      </c>
      <c r="D681" s="4">
        <v>-30.127216999999998</v>
      </c>
      <c r="E681" s="4">
        <f>((-43.2344628/(10/9))+-10.5)+-0.4</f>
        <v>-49.811016520000003</v>
      </c>
      <c r="F681" s="4">
        <f>((-0.45077917*(1.3/1.5))*0.6)-0.3</f>
        <v>-0.53440516839999996</v>
      </c>
    </row>
    <row r="682" spans="1:6" x14ac:dyDescent="0.4">
      <c r="A682" s="4">
        <v>595.24900000000002</v>
      </c>
      <c r="B682" s="4">
        <v>1.0572410000000001</v>
      </c>
      <c r="C682" s="4">
        <v>1.0336622</v>
      </c>
      <c r="D682" s="4">
        <v>-30.126580000000001</v>
      </c>
      <c r="E682" s="4">
        <f>((-43.3525041/(10/9))+-10.5)+-0.4</f>
        <v>-49.917253689999995</v>
      </c>
      <c r="F682" s="4">
        <f>((-0.45086488*(1.3/1.5))*0.6)-0.3</f>
        <v>-0.53444973760000003</v>
      </c>
    </row>
    <row r="683" spans="1:6" x14ac:dyDescent="0.4">
      <c r="A683" s="4">
        <v>596.1239250000001</v>
      </c>
      <c r="B683" s="4">
        <v>1.0568428999999999</v>
      </c>
      <c r="C683" s="4">
        <v>1.033517</v>
      </c>
      <c r="D683" s="4">
        <v>-30.125301</v>
      </c>
      <c r="E683" s="4">
        <f>((-43.1598762/(10/9))+-10.5)+-0.4</f>
        <v>-49.743888579999997</v>
      </c>
      <c r="F683" s="4">
        <f>((-0.45097274*(1.3/1.5))*0.6)-0.3</f>
        <v>-0.53450582479999997</v>
      </c>
    </row>
    <row r="684" spans="1:6" x14ac:dyDescent="0.4">
      <c r="A684" s="4">
        <v>596.99884999999995</v>
      </c>
      <c r="B684" s="4">
        <v>1.0567138</v>
      </c>
      <c r="C684" s="4">
        <v>1.0334976</v>
      </c>
      <c r="D684" s="4">
        <v>-30.124122</v>
      </c>
      <c r="E684" s="4">
        <f>((-43.3261026/(10/9))+-10.5)+-0.4</f>
        <v>-49.893492339999995</v>
      </c>
      <c r="F684" s="4">
        <f>((-0.45105734*(1.3/1.5))*0.6)-0.3</f>
        <v>-0.53454981680000002</v>
      </c>
    </row>
    <row r="685" spans="1:6" x14ac:dyDescent="0.4">
      <c r="A685" s="4">
        <v>597.87377500000002</v>
      </c>
      <c r="B685" s="4">
        <v>1.056568</v>
      </c>
      <c r="C685" s="4">
        <v>1.0334167000000001</v>
      </c>
      <c r="D685" s="4">
        <v>-30.12341</v>
      </c>
      <c r="E685" s="4">
        <f>((-43.3216116/(10/9))+-10.5)+-0.4</f>
        <v>-49.889450439999997</v>
      </c>
      <c r="F685" s="4">
        <f>((-0.45120725*(1.3/1.5))*0.6)-0.3</f>
        <v>-0.53462776999999995</v>
      </c>
    </row>
    <row r="686" spans="1:6" x14ac:dyDescent="0.4">
      <c r="A686" s="4">
        <v>598.74869999999999</v>
      </c>
      <c r="B686" s="4">
        <v>1.0565697999999999</v>
      </c>
      <c r="C686" s="4">
        <v>1.0331229</v>
      </c>
      <c r="D686" s="4">
        <v>-30.122080999999998</v>
      </c>
      <c r="E686" s="4">
        <f>((-43.2049779/(10/9))+-10.5)+-0.4</f>
        <v>-49.784480109999997</v>
      </c>
      <c r="F686" s="4">
        <f>((-0.45136878*(1.3/1.5))*0.6)-0.3</f>
        <v>-0.5347117656</v>
      </c>
    </row>
    <row r="687" spans="1:6" x14ac:dyDescent="0.4">
      <c r="A687" s="4">
        <v>599.62362499999995</v>
      </c>
      <c r="B687" s="4">
        <v>1.0565362</v>
      </c>
      <c r="C687" s="4">
        <v>1.0332401</v>
      </c>
      <c r="D687" s="4">
        <v>-30.120585999999999</v>
      </c>
      <c r="E687" s="4">
        <f>((-43.1969922/(10/9))+-10.5)+-0.4</f>
        <v>-49.777292979999991</v>
      </c>
      <c r="F687" s="4">
        <f>((-0.45154381*(1.3/1.5))*0.6)-0.3</f>
        <v>-0.53480278120000002</v>
      </c>
    </row>
    <row r="688" spans="1:6" x14ac:dyDescent="0.4">
      <c r="A688" s="4">
        <v>600.49855000000002</v>
      </c>
      <c r="B688" s="4">
        <v>1.0566092</v>
      </c>
      <c r="C688" s="4">
        <v>1.0333524000000001</v>
      </c>
      <c r="D688" s="4">
        <v>-30.119475999999999</v>
      </c>
      <c r="E688" s="4">
        <f>((-43.140519/(10/9))+-10.5)+-0.4</f>
        <v>-49.726467099999994</v>
      </c>
      <c r="F688" s="4">
        <f>((-0.45178676*(1.3/1.5))*0.6)-0.3</f>
        <v>-0.53492911519999997</v>
      </c>
    </row>
    <row r="689" spans="1:6" x14ac:dyDescent="0.4">
      <c r="A689" s="4">
        <v>601.37347499999998</v>
      </c>
      <c r="B689" s="4">
        <v>1.0566388</v>
      </c>
      <c r="C689" s="4">
        <v>1.0334051</v>
      </c>
      <c r="D689" s="4">
        <v>-30.118423</v>
      </c>
      <c r="E689" s="4">
        <f>((-43.3633185/(10/9))+-10.5)+-0.4</f>
        <v>-49.926986649999996</v>
      </c>
      <c r="F689" s="4">
        <f>((-0.45195091*(1.3/1.5))*0.6)-0.3</f>
        <v>-0.53501447319999995</v>
      </c>
    </row>
    <row r="690" spans="1:6" x14ac:dyDescent="0.4">
      <c r="A690" s="4">
        <v>602.24840000000006</v>
      </c>
      <c r="B690" s="4">
        <v>1.0566367000000001</v>
      </c>
      <c r="C690" s="4">
        <v>1.0332409</v>
      </c>
      <c r="D690" s="4">
        <v>-30.117545</v>
      </c>
      <c r="E690" s="4">
        <f>((-43.1541594/(10/9))+-10.5)+-0.4</f>
        <v>-49.738743459999995</v>
      </c>
      <c r="F690" s="4">
        <f>((-0.45209694*(1.3/1.5))*0.6)-0.3</f>
        <v>-0.53509040879999992</v>
      </c>
    </row>
    <row r="691" spans="1:6" x14ac:dyDescent="0.4">
      <c r="A691" s="4">
        <v>603.12332499999991</v>
      </c>
      <c r="B691" s="4">
        <v>1.0564266</v>
      </c>
      <c r="C691" s="4">
        <v>1.0331482999999999</v>
      </c>
      <c r="D691" s="4">
        <v>-30.116398999999998</v>
      </c>
      <c r="E691" s="4">
        <f>((-43.0951077/(10/9))+-10.5)+-0.4</f>
        <v>-49.685596929999996</v>
      </c>
      <c r="F691" s="4">
        <f>((-0.45224148*(1.3/1.5))*0.6)-0.3</f>
        <v>-0.53516556959999995</v>
      </c>
    </row>
    <row r="692" spans="1:6" x14ac:dyDescent="0.4">
      <c r="A692" s="4">
        <v>603.99824999999998</v>
      </c>
      <c r="B692" s="4">
        <v>1.0564027</v>
      </c>
      <c r="C692" s="4">
        <v>1.0332029</v>
      </c>
      <c r="D692" s="4">
        <v>-30.115365000000001</v>
      </c>
      <c r="E692" s="4">
        <f>((-43.193295/(10/9))+-10.5)+-0.4</f>
        <v>-49.773965499999996</v>
      </c>
      <c r="F692" s="4">
        <f>((-0.45239618*(1.3/1.5))*0.6)-0.3</f>
        <v>-0.53524601360000001</v>
      </c>
    </row>
    <row r="693" spans="1:6" x14ac:dyDescent="0.4">
      <c r="A693" s="4">
        <v>604.87317500000006</v>
      </c>
      <c r="B693" s="4">
        <v>1.0562068</v>
      </c>
      <c r="C693" s="4">
        <v>1.0331801</v>
      </c>
      <c r="D693" s="4">
        <v>-30.114601999999998</v>
      </c>
      <c r="E693" s="4">
        <f>((-43.1040033/(10/9))+-10.5)+-0.4</f>
        <v>-49.693602970000001</v>
      </c>
      <c r="F693" s="4">
        <f>((-0.45259142*(1.3/1.5))*0.6)-0.3</f>
        <v>-0.53534753839999993</v>
      </c>
    </row>
    <row r="694" spans="1:6" x14ac:dyDescent="0.4">
      <c r="A694" s="4">
        <v>605.74810000000002</v>
      </c>
      <c r="B694" s="4">
        <v>1.0561341</v>
      </c>
      <c r="C694" s="4">
        <v>1.0331060000000001</v>
      </c>
      <c r="D694" s="4">
        <v>-30.113665999999998</v>
      </c>
      <c r="E694" s="4">
        <f>((-43.1553402/(10/9))+-10.5)+-0.4</f>
        <v>-49.739806179999995</v>
      </c>
      <c r="F694" s="4">
        <f>((-0.45279878*(1.3/1.5))*0.6)-0.3</f>
        <v>-0.53545536560000007</v>
      </c>
    </row>
    <row r="695" spans="1:6" x14ac:dyDescent="0.4">
      <c r="A695" s="4">
        <v>606.62302499999998</v>
      </c>
      <c r="B695" s="4">
        <v>1.0562400000000001</v>
      </c>
      <c r="C695" s="4">
        <v>1.0330964</v>
      </c>
      <c r="D695" s="4">
        <v>-30.112337999999998</v>
      </c>
      <c r="E695" s="4">
        <f>((-43.1699625/(10/9))+-10.5)+-0.4</f>
        <v>-49.752966249999993</v>
      </c>
      <c r="F695" s="4">
        <f>((-0.45290765*(1.3/1.5))*0.6)-0.3</f>
        <v>-0.53551197799999994</v>
      </c>
    </row>
    <row r="696" spans="1:6" x14ac:dyDescent="0.4">
      <c r="A696" s="4">
        <v>607.49794999999995</v>
      </c>
      <c r="B696" s="4">
        <v>1.0562043000000001</v>
      </c>
      <c r="C696" s="4">
        <v>1.0330807</v>
      </c>
      <c r="D696" s="4">
        <v>-30.111473999999998</v>
      </c>
      <c r="E696" s="4">
        <f>((-43.1003061/(10/9))+-10.5)+-0.4</f>
        <v>-49.690275489999998</v>
      </c>
      <c r="F696" s="4">
        <f>((-0.4530904*(1.3/1.5))*0.6)-0.3</f>
        <v>-0.53560700799999994</v>
      </c>
    </row>
    <row r="697" spans="1:6" x14ac:dyDescent="0.4">
      <c r="A697" s="4">
        <v>608.37287500000002</v>
      </c>
      <c r="B697" s="4">
        <v>1.0561332000000001</v>
      </c>
      <c r="C697" s="4">
        <v>1.0331165</v>
      </c>
      <c r="D697" s="4">
        <v>-30.110161999999999</v>
      </c>
      <c r="E697" s="4">
        <f>((-43.0734789/(10/9))+-10.5)+-0.4</f>
        <v>-49.666131009999994</v>
      </c>
      <c r="F697" s="4">
        <f>((-0.4532536*(1.3/1.5))*0.6)-0.3</f>
        <v>-0.53569187200000001</v>
      </c>
    </row>
    <row r="698" spans="1:6" x14ac:dyDescent="0.4">
      <c r="A698" s="4">
        <v>609.2478000000001</v>
      </c>
      <c r="B698" s="4">
        <v>1.0561145999999999</v>
      </c>
      <c r="C698" s="4">
        <v>1.0331296000000001</v>
      </c>
      <c r="D698" s="4">
        <v>-30.108878000000001</v>
      </c>
      <c r="E698" s="4">
        <f>((-43.1653797/(10/9))+-10.5)+-0.4</f>
        <v>-49.748841730000002</v>
      </c>
      <c r="F698" s="4">
        <f>((-0.45345461*(1.3/1.5))*0.6)-0.3</f>
        <v>-0.53579639719999994</v>
      </c>
    </row>
    <row r="699" spans="1:6" x14ac:dyDescent="0.4">
      <c r="A699" s="4">
        <v>610.12272499999995</v>
      </c>
      <c r="B699" s="4">
        <v>1.0560771</v>
      </c>
      <c r="C699" s="4">
        <v>1.0330973999999999</v>
      </c>
      <c r="D699" s="4">
        <v>-30.107837</v>
      </c>
      <c r="E699" s="4">
        <f>((-42.9532947/(10/9))+-10.5)+-0.4</f>
        <v>-49.557965230000001</v>
      </c>
      <c r="F699" s="4">
        <f>((-0.45363396*(1.3/1.5))*0.6)-0.3</f>
        <v>-0.53588965919999998</v>
      </c>
    </row>
    <row r="700" spans="1:6" x14ac:dyDescent="0.4">
      <c r="A700" s="4">
        <v>610.99765000000002</v>
      </c>
      <c r="B700" s="4">
        <v>1.0559474</v>
      </c>
      <c r="C700" s="4">
        <v>1.0329832000000001</v>
      </c>
      <c r="D700" s="4">
        <v>-30.106821999999998</v>
      </c>
      <c r="E700" s="4">
        <f>((-42.9777018/(10/9))+-10.5)+-0.4</f>
        <v>-49.579931619999996</v>
      </c>
      <c r="F700" s="4">
        <f>((-0.45381632*(1.3/1.5))*0.6)-0.3</f>
        <v>-0.53598448639999996</v>
      </c>
    </row>
    <row r="701" spans="1:6" x14ac:dyDescent="0.4">
      <c r="A701" s="4">
        <v>611.87257499999998</v>
      </c>
      <c r="B701" s="4">
        <v>1.0558578000000001</v>
      </c>
      <c r="C701" s="4">
        <v>1.0329406999999999</v>
      </c>
      <c r="D701" s="4">
        <v>-30.105850999999998</v>
      </c>
      <c r="E701" s="4">
        <f>((-43.0731459/(10/9))+-10.5)+-0.4</f>
        <v>-49.665831309999994</v>
      </c>
      <c r="F701" s="4">
        <f>((-0.45400402*(1.3/1.5))*0.6)-0.3</f>
        <v>-0.53608209039999999</v>
      </c>
    </row>
    <row r="702" spans="1:6" x14ac:dyDescent="0.4">
      <c r="A702" s="4">
        <v>612.74749999999995</v>
      </c>
      <c r="B702" s="4">
        <v>1.0560373000000001</v>
      </c>
      <c r="C702" s="4">
        <v>1.0329645000000001</v>
      </c>
      <c r="D702" s="4">
        <v>-30.104917</v>
      </c>
      <c r="E702" s="4">
        <f>((-43.0505451/(10/9))+-10.5)+-0.4</f>
        <v>-49.645490589999994</v>
      </c>
      <c r="F702" s="4">
        <f>((-0.45416331*(1.3/1.5))*0.6)-0.3</f>
        <v>-0.53616492119999992</v>
      </c>
    </row>
    <row r="703" spans="1:6" x14ac:dyDescent="0.4">
      <c r="A703" s="4">
        <v>613.62242500000002</v>
      </c>
      <c r="B703" s="4">
        <v>1.0558778</v>
      </c>
      <c r="C703" s="4">
        <v>1.033007</v>
      </c>
      <c r="D703" s="4">
        <v>-30.103836999999999</v>
      </c>
      <c r="E703" s="4">
        <f>((-42.9891039/(10/9))+-10.5)+-0.4</f>
        <v>-49.590193509999999</v>
      </c>
      <c r="F703" s="4">
        <f>((-0.45428532*(1.3/1.5))*0.6)-0.3</f>
        <v>-0.53622836639999993</v>
      </c>
    </row>
    <row r="704" spans="1:6" x14ac:dyDescent="0.4">
      <c r="A704" s="4">
        <v>614.49734999999998</v>
      </c>
      <c r="B704" s="4">
        <v>1.0555342000000001</v>
      </c>
      <c r="C704" s="4">
        <v>1.0328691000000001</v>
      </c>
      <c r="D704" s="4">
        <v>-30.103078</v>
      </c>
      <c r="E704" s="4">
        <f>((-42.8590053/(10/9))+-10.5)+-0.4</f>
        <v>-49.473104769999999</v>
      </c>
      <c r="F704" s="4">
        <f>((-0.45441756*(1.3/1.5))*0.6)-0.3</f>
        <v>-0.5362971312</v>
      </c>
    </row>
    <row r="705" spans="1:6" x14ac:dyDescent="0.4">
      <c r="A705" s="4">
        <v>615.37227500000006</v>
      </c>
      <c r="B705" s="4">
        <v>1.0555262999999999</v>
      </c>
      <c r="C705" s="4">
        <v>1.0327206</v>
      </c>
      <c r="D705" s="4">
        <v>-30.102284999999998</v>
      </c>
      <c r="E705" s="4">
        <f>((-42.9972678/(10/9))+-10.5)+-0.4</f>
        <v>-49.597541020000001</v>
      </c>
      <c r="F705" s="4">
        <f>((-0.45457205*(1.3/1.5))*0.6)-0.3</f>
        <v>-0.53637746600000002</v>
      </c>
    </row>
    <row r="706" spans="1:6" x14ac:dyDescent="0.4">
      <c r="A706" s="4">
        <v>616.24719999999991</v>
      </c>
      <c r="B706" s="4">
        <v>1.0554161</v>
      </c>
      <c r="C706" s="4">
        <v>1.0327009</v>
      </c>
      <c r="D706" s="4">
        <v>-30.101039</v>
      </c>
      <c r="E706" s="4">
        <f>((-43.0947405/(10/9))+-10.5)+-0.4</f>
        <v>-49.68526645</v>
      </c>
      <c r="F706" s="4">
        <f>((-0.45462102*(1.3/1.5))*0.6)-0.3</f>
        <v>-0.53640293039999998</v>
      </c>
    </row>
    <row r="707" spans="1:6" x14ac:dyDescent="0.4">
      <c r="A707" s="4">
        <v>617.12212499999998</v>
      </c>
      <c r="B707" s="4">
        <v>1.0555489</v>
      </c>
      <c r="C707" s="4">
        <v>1.0326871</v>
      </c>
      <c r="D707" s="4">
        <v>-30.100138999999999</v>
      </c>
      <c r="E707" s="4">
        <f>((-43.0270029/(10/9))+-10.5)+-0.4</f>
        <v>-49.624302609999994</v>
      </c>
      <c r="F707" s="4">
        <f>((-0.45483962*(1.3/1.5))*0.6)-0.3</f>
        <v>-0.53651660239999999</v>
      </c>
    </row>
    <row r="708" spans="1:6" x14ac:dyDescent="0.4">
      <c r="A708" s="4">
        <v>617.99705000000006</v>
      </c>
      <c r="B708" s="4">
        <v>1.0553463000000001</v>
      </c>
      <c r="C708" s="4">
        <v>1.0328815</v>
      </c>
      <c r="D708" s="4">
        <v>-30.098822999999999</v>
      </c>
      <c r="E708" s="4">
        <f>((-43.0190892/(10/9))+-10.5)+-0.4</f>
        <v>-49.617180279999999</v>
      </c>
      <c r="F708" s="4">
        <f>((-0.45511422*(1.3/1.5))*0.6)-0.3</f>
        <v>-0.53665939439999999</v>
      </c>
    </row>
    <row r="709" spans="1:6" x14ac:dyDescent="0.4">
      <c r="A709" s="4">
        <v>618.87197500000002</v>
      </c>
      <c r="B709" s="4">
        <v>1.0555296999999999</v>
      </c>
      <c r="C709" s="4">
        <v>1.0324515000000001</v>
      </c>
      <c r="D709" s="4">
        <v>-30.097379</v>
      </c>
      <c r="E709" s="4">
        <f>((-42.9360813/(10/9))+-10.5)+-0.4</f>
        <v>-49.542473169999994</v>
      </c>
      <c r="F709" s="4">
        <f>((-0.45540783*(1.3/1.5))*0.6)-0.3</f>
        <v>-0.5368120716</v>
      </c>
    </row>
    <row r="710" spans="1:6" x14ac:dyDescent="0.4">
      <c r="A710" s="4">
        <v>619.74689999999998</v>
      </c>
      <c r="B710" s="4">
        <v>1.055302</v>
      </c>
      <c r="C710" s="4">
        <v>1.0323850000000001</v>
      </c>
      <c r="D710" s="4">
        <v>-30.096609999999998</v>
      </c>
      <c r="E710" s="4">
        <f>((-42.9991461/(10/9))+-10.5)+-0.4</f>
        <v>-49.599231489999994</v>
      </c>
      <c r="F710" s="4">
        <f>((-0.45566636*(1.3/1.5))*0.6)-0.3</f>
        <v>-0.53694650719999992</v>
      </c>
    </row>
    <row r="711" spans="1:6" x14ac:dyDescent="0.4">
      <c r="A711" s="4">
        <v>620.62182499999994</v>
      </c>
      <c r="B711" s="4">
        <v>1.0553333</v>
      </c>
      <c r="C711" s="4">
        <v>1.0327230999999999</v>
      </c>
      <c r="D711" s="4">
        <v>-30.095696999999998</v>
      </c>
      <c r="E711" s="4">
        <f>((-43.0648713/(10/9))+-10.5)+-0.4</f>
        <v>-49.658384169999998</v>
      </c>
      <c r="F711" s="4">
        <f>((-0.45591056*(1.3/1.5))*0.6)-0.3</f>
        <v>-0.53707349120000003</v>
      </c>
    </row>
    <row r="712" spans="1:6" x14ac:dyDescent="0.4">
      <c r="A712" s="4">
        <v>621.49675000000002</v>
      </c>
      <c r="B712" s="4">
        <v>1.0553039</v>
      </c>
      <c r="C712" s="4">
        <v>1.0327474000000001</v>
      </c>
      <c r="D712" s="4">
        <v>-30.094556000000001</v>
      </c>
      <c r="E712" s="4">
        <f>((-42.9530859/(10/9))+-10.5)+-0.4</f>
        <v>-49.557777309999992</v>
      </c>
      <c r="F712" s="4">
        <f>((-0.45609668*(1.3/1.5))*0.6)-0.3</f>
        <v>-0.53717027359999991</v>
      </c>
    </row>
    <row r="713" spans="1:6" x14ac:dyDescent="0.4">
      <c r="A713" s="4">
        <v>622.3716750000001</v>
      </c>
      <c r="B713" s="4">
        <v>1.0552429999999999</v>
      </c>
      <c r="C713" s="4">
        <v>1.0328081</v>
      </c>
      <c r="D713" s="4">
        <v>-30.093246000000001</v>
      </c>
      <c r="E713" s="4">
        <f>((-43.0861194/(10/9))+-10.5)+-0.4</f>
        <v>-49.677507460000001</v>
      </c>
      <c r="F713" s="4">
        <f>((-0.45625725*(1.3/1.5))*0.6)-0.3</f>
        <v>-0.53725376999999996</v>
      </c>
    </row>
    <row r="714" spans="1:6" x14ac:dyDescent="0.4">
      <c r="A714" s="4">
        <v>623.24659999999994</v>
      </c>
      <c r="B714" s="4">
        <v>1.0549846000000001</v>
      </c>
      <c r="C714" s="4">
        <v>1.0326154999999999</v>
      </c>
      <c r="D714" s="4">
        <v>-30.092237000000001</v>
      </c>
      <c r="E714" s="4">
        <f>((-42.9273333/(10/9))+-10.5)+-0.4</f>
        <v>-49.534599969999995</v>
      </c>
      <c r="F714" s="4">
        <f>((-0.45643762*(1.3/1.5))*0.6)-0.3</f>
        <v>-0.53734756239999992</v>
      </c>
    </row>
    <row r="715" spans="1:6" x14ac:dyDescent="0.4">
      <c r="A715" s="4">
        <v>624.12152500000002</v>
      </c>
      <c r="B715" s="4">
        <v>1.0549135000000001</v>
      </c>
      <c r="C715" s="4">
        <v>1.0323277</v>
      </c>
      <c r="D715" s="4">
        <v>-30.090903000000001</v>
      </c>
      <c r="E715" s="4">
        <f>((-42.8661423/(10/9))+-10.5)+-0.4</f>
        <v>-49.479528069999994</v>
      </c>
      <c r="F715" s="4">
        <f>((-0.45668909*(1.3/1.5))*0.6)-0.3</f>
        <v>-0.53747832679999996</v>
      </c>
    </row>
    <row r="716" spans="1:6" x14ac:dyDescent="0.4">
      <c r="A716" s="4">
        <v>624.99644999999998</v>
      </c>
      <c r="B716" s="4">
        <v>1.0549637000000001</v>
      </c>
      <c r="C716" s="4">
        <v>1.0323389000000001</v>
      </c>
      <c r="D716" s="4">
        <v>-30.089621999999999</v>
      </c>
      <c r="E716" s="4">
        <f>((-42.9898005/(10/9))+-10.5)+-0.4</f>
        <v>-49.590820449999995</v>
      </c>
      <c r="F716" s="4">
        <f>((-0.45694241*(1.3/1.5))*0.6)-0.3</f>
        <v>-0.53761005319999999</v>
      </c>
    </row>
    <row r="717" spans="1:6" x14ac:dyDescent="0.4">
      <c r="A717" s="4">
        <v>625.87137499999994</v>
      </c>
      <c r="B717" s="4">
        <v>1.0549279</v>
      </c>
      <c r="C717" s="4">
        <v>1.0323753</v>
      </c>
      <c r="D717" s="4">
        <v>-30.088262</v>
      </c>
      <c r="E717" s="4">
        <f>((-42.7177449/(10/9))+-10.5)+-0.4</f>
        <v>-49.34597041</v>
      </c>
      <c r="F717" s="4">
        <f>((-0.45718226*(1.3/1.5))*0.6)-0.3</f>
        <v>-0.53773477520000001</v>
      </c>
    </row>
    <row r="718" spans="1:6" x14ac:dyDescent="0.4">
      <c r="A718" s="4">
        <v>626.74630000000002</v>
      </c>
      <c r="B718" s="4">
        <v>1.0548171</v>
      </c>
      <c r="C718" s="4">
        <v>1.0324249999999999</v>
      </c>
      <c r="D718" s="4">
        <v>-30.087464999999998</v>
      </c>
      <c r="E718" s="4">
        <f>((-42.8842737/(10/9))+-10.5)+-0.4</f>
        <v>-49.495846329999999</v>
      </c>
      <c r="F718" s="4">
        <f>((-0.45728311*(1.3/1.5))*0.6)-0.3</f>
        <v>-0.5377872172</v>
      </c>
    </row>
    <row r="719" spans="1:6" x14ac:dyDescent="0.4">
      <c r="A719" s="4">
        <v>627.62122499999998</v>
      </c>
      <c r="B719" s="4">
        <v>1.054664</v>
      </c>
      <c r="C719" s="4">
        <v>1.0324913</v>
      </c>
      <c r="D719" s="4">
        <v>-30.08644</v>
      </c>
      <c r="E719" s="4">
        <f>((-42.853752/(10/9))+-10.5)+-0.4</f>
        <v>-49.468376799999994</v>
      </c>
      <c r="F719" s="4">
        <f>((-0.45753175*(1.3/1.5))*0.6)-0.3</f>
        <v>-0.53791650999999996</v>
      </c>
    </row>
    <row r="720" spans="1:6" x14ac:dyDescent="0.4">
      <c r="A720" s="4">
        <v>628.49615000000006</v>
      </c>
      <c r="B720" s="4">
        <v>1.0546439000000001</v>
      </c>
      <c r="C720" s="4">
        <v>1.0322815000000001</v>
      </c>
      <c r="D720" s="4">
        <v>-30.085331999999998</v>
      </c>
      <c r="E720" s="4">
        <f>((-42.9471702/(10/9))+-10.5)+-0.4</f>
        <v>-49.552453180000001</v>
      </c>
      <c r="F720" s="4">
        <f>((-0.45775288*(1.3/1.5))*0.6)-0.3</f>
        <v>-0.53803149760000002</v>
      </c>
    </row>
    <row r="721" spans="1:6" x14ac:dyDescent="0.4">
      <c r="A721" s="4">
        <v>629.37107499999991</v>
      </c>
      <c r="B721" s="4">
        <v>1.0547074000000001</v>
      </c>
      <c r="C721" s="4">
        <v>1.0321933000000001</v>
      </c>
      <c r="D721" s="4">
        <v>-30.084181999999998</v>
      </c>
      <c r="E721" s="4">
        <f>((-42.8167143/(10/9))+-10.5)+-0.4</f>
        <v>-49.435042869999997</v>
      </c>
      <c r="F721" s="4">
        <f>((-0.45793971*(1.3/1.5))*0.6)-0.3</f>
        <v>-0.53812864919999992</v>
      </c>
    </row>
    <row r="722" spans="1:6" x14ac:dyDescent="0.4">
      <c r="A722" s="4">
        <v>630.24599999999998</v>
      </c>
      <c r="B722" s="4">
        <v>1.0546975000000001</v>
      </c>
      <c r="C722" s="4">
        <v>1.0323328000000001</v>
      </c>
      <c r="D722" s="4">
        <v>-30.083009000000001</v>
      </c>
      <c r="E722" s="4">
        <f>((-42.9126804/(10/9))+-10.5)+-0.4</f>
        <v>-49.521412359999999</v>
      </c>
      <c r="F722" s="4">
        <f>((-0.45816699*(1.3/1.5))*0.6)-0.3</f>
        <v>-0.53824683480000002</v>
      </c>
    </row>
    <row r="723" spans="1:6" x14ac:dyDescent="0.4">
      <c r="A723" s="4">
        <v>631.12092500000006</v>
      </c>
      <c r="B723" s="4">
        <v>1.0547218</v>
      </c>
      <c r="C723" s="4">
        <v>1.0323252999999999</v>
      </c>
      <c r="D723" s="4">
        <v>-30.082138999999998</v>
      </c>
      <c r="E723" s="4">
        <f>((-42.9592896/(10/9))+-10.5)+-0.4</f>
        <v>-49.563360639999992</v>
      </c>
      <c r="F723" s="4">
        <f>((-0.45834652*(1.3/1.5))*0.6)-0.3</f>
        <v>-0.53834019040000003</v>
      </c>
    </row>
    <row r="724" spans="1:6" x14ac:dyDescent="0.4">
      <c r="A724" s="4">
        <v>631.99585000000002</v>
      </c>
      <c r="B724" s="4">
        <v>1.0545703</v>
      </c>
      <c r="C724" s="4">
        <v>1.0323857999999999</v>
      </c>
      <c r="D724" s="4">
        <v>-30.081053999999998</v>
      </c>
      <c r="E724" s="4">
        <f>((-42.9957918/(10/9))+-10.5)+-0.4</f>
        <v>-49.596212619999996</v>
      </c>
      <c r="F724" s="4">
        <f>((-0.45848739*(1.3/1.5))*0.6)-0.3</f>
        <v>-0.53841344280000003</v>
      </c>
    </row>
    <row r="725" spans="1:6" x14ac:dyDescent="0.4">
      <c r="A725" s="4">
        <v>632.87077499999998</v>
      </c>
      <c r="B725" s="4">
        <v>1.0543756</v>
      </c>
      <c r="C725" s="4">
        <v>1.0320673</v>
      </c>
      <c r="D725" s="4">
        <v>-30.079522000000001</v>
      </c>
      <c r="E725" s="4">
        <f>((-42.8491278/(10/9))+-10.5)+-0.4</f>
        <v>-49.464215019999997</v>
      </c>
      <c r="F725" s="4">
        <f>((-0.45871371*(1.3/1.5))*0.6)-0.3</f>
        <v>-0.53853112920000001</v>
      </c>
    </row>
    <row r="726" spans="1:6" x14ac:dyDescent="0.4">
      <c r="A726" s="4">
        <v>633.74569999999994</v>
      </c>
      <c r="B726" s="4">
        <v>1.0544182</v>
      </c>
      <c r="C726" s="4">
        <v>1.0321828</v>
      </c>
      <c r="D726" s="4">
        <v>-30.07846</v>
      </c>
      <c r="E726" s="4">
        <f>((-42.9068745/(10/9))+-10.5)+-0.4</f>
        <v>-49.516187049999999</v>
      </c>
      <c r="F726" s="4">
        <f>((-0.45888773*(1.3/1.5))*0.6)-0.3</f>
        <v>-0.53862161959999999</v>
      </c>
    </row>
    <row r="727" spans="1:6" x14ac:dyDescent="0.4">
      <c r="A727" s="4">
        <v>634.62062500000002</v>
      </c>
      <c r="B727" s="4">
        <v>1.0542783</v>
      </c>
      <c r="C727" s="4">
        <v>1.0319081999999999</v>
      </c>
      <c r="D727" s="4">
        <v>-30.077403</v>
      </c>
      <c r="E727" s="4">
        <f>((-42.8702283/(10/9))+-10.5)+-0.4</f>
        <v>-49.483205469999994</v>
      </c>
      <c r="F727" s="4">
        <f>((-0.45901906*(1.3/1.5))*0.6)-0.3</f>
        <v>-0.53868991119999998</v>
      </c>
    </row>
    <row r="728" spans="1:6" x14ac:dyDescent="0.4">
      <c r="A728" s="4">
        <v>635.49555000000009</v>
      </c>
      <c r="B728" s="4">
        <v>1.0543256999999999</v>
      </c>
      <c r="C728" s="4">
        <v>1.0320799000000001</v>
      </c>
      <c r="D728" s="4">
        <v>-30.076405999999999</v>
      </c>
      <c r="E728" s="4">
        <f>((-42.7592907/(10/9))+-10.5)+-0.4</f>
        <v>-49.383361629999996</v>
      </c>
      <c r="F728" s="4">
        <f>((-0.45914644*(1.3/1.5))*0.6)-0.3</f>
        <v>-0.5387561488</v>
      </c>
    </row>
    <row r="729" spans="1:6" x14ac:dyDescent="0.4">
      <c r="A729" s="4">
        <v>636.37047499999994</v>
      </c>
      <c r="B729" s="4">
        <v>1.054378</v>
      </c>
      <c r="C729" s="4">
        <v>1.0322007</v>
      </c>
      <c r="D729" s="4">
        <v>-30.075243999999998</v>
      </c>
      <c r="E729" s="4">
        <f>((-42.7934718/(10/9))+-10.5)+-0.4</f>
        <v>-49.414124619999996</v>
      </c>
      <c r="F729" s="4">
        <f>((-0.45938259*(1.3/1.5))*0.6)-0.3</f>
        <v>-0.53887894679999992</v>
      </c>
    </row>
    <row r="730" spans="1:6" x14ac:dyDescent="0.4">
      <c r="A730" s="4">
        <v>637.24540000000002</v>
      </c>
      <c r="B730" s="4">
        <v>1.0540965</v>
      </c>
      <c r="C730" s="4">
        <v>1.0320039000000001</v>
      </c>
      <c r="D730" s="4">
        <v>-30.073930000000001</v>
      </c>
      <c r="E730" s="4">
        <f>((-42.7460796/(10/9))+-10.5)+-0.4</f>
        <v>-49.371471639999996</v>
      </c>
      <c r="F730" s="4">
        <f>((-0.45960498*(1.3/1.5))*0.6)-0.3</f>
        <v>-0.53899458960000002</v>
      </c>
    </row>
    <row r="731" spans="1:6" x14ac:dyDescent="0.4">
      <c r="A731" s="4">
        <v>638.12032499999998</v>
      </c>
      <c r="B731" s="4">
        <v>1.0542703</v>
      </c>
      <c r="C731" s="4">
        <v>1.0320293</v>
      </c>
      <c r="D731" s="4">
        <v>-30.072548999999999</v>
      </c>
      <c r="E731" s="4">
        <f>((-42.9752817/(10/9))+-10.5)+-0.4</f>
        <v>-49.577753529999995</v>
      </c>
      <c r="F731" s="4">
        <f>((-0.45981422*(1.3/1.5))*0.6)-0.3</f>
        <v>-0.53910339439999999</v>
      </c>
    </row>
    <row r="732" spans="1:6" x14ac:dyDescent="0.4">
      <c r="A732" s="4">
        <v>638.99525000000006</v>
      </c>
      <c r="B732" s="4">
        <v>1.0541893</v>
      </c>
      <c r="C732" s="4">
        <v>1.0319999</v>
      </c>
      <c r="D732" s="4">
        <v>-30.071411999999999</v>
      </c>
      <c r="E732" s="4">
        <f>((-42.6665898/(10/9))+-10.5)+-0.4</f>
        <v>-49.299930819999993</v>
      </c>
      <c r="F732" s="4">
        <f>((-0.4599812*(1.3/1.5))*0.6)-0.3</f>
        <v>-0.53919022399999994</v>
      </c>
    </row>
    <row r="733" spans="1:6" x14ac:dyDescent="0.4">
      <c r="A733" s="4">
        <v>639.87017500000002</v>
      </c>
      <c r="B733" s="4">
        <v>1.0540867</v>
      </c>
      <c r="C733" s="4">
        <v>1.0321499000000001</v>
      </c>
      <c r="D733" s="4">
        <v>-30.069806</v>
      </c>
      <c r="E733" s="4">
        <f>((-42.7401153/(10/9))+-10.5)+-0.4</f>
        <v>-49.366103769999995</v>
      </c>
      <c r="F733" s="4">
        <f>((-0.46017587*(1.3/1.5))*0.6)-0.3</f>
        <v>-0.53929145239999998</v>
      </c>
    </row>
    <row r="734" spans="1:6" x14ac:dyDescent="0.4">
      <c r="A734" s="4">
        <v>640.74509999999998</v>
      </c>
      <c r="B734" s="4">
        <v>1.0539995</v>
      </c>
      <c r="C734" s="4">
        <v>1.0321419000000001</v>
      </c>
      <c r="D734" s="4">
        <v>-30.068363999999999</v>
      </c>
      <c r="E734" s="4">
        <f>((-42.7292946/(10/9))+-10.5)+-0.4</f>
        <v>-49.356365140000001</v>
      </c>
      <c r="F734" s="4">
        <f>((-0.46034551*(1.3/1.5))*0.6)-0.3</f>
        <v>-0.53937966520000002</v>
      </c>
    </row>
    <row r="735" spans="1:6" x14ac:dyDescent="0.4">
      <c r="A735" s="4">
        <v>641.62002500000006</v>
      </c>
      <c r="B735" s="4">
        <v>1.0537924000000001</v>
      </c>
      <c r="C735" s="4">
        <v>1.0319327</v>
      </c>
      <c r="D735" s="4">
        <v>-30.067062</v>
      </c>
      <c r="E735" s="4">
        <f>((-42.7649967/(10/9))+-10.5)+-0.4</f>
        <v>-49.388497029999996</v>
      </c>
      <c r="F735" s="4">
        <f>((-0.46056902*(1.3/1.5))*0.6)-0.3</f>
        <v>-0.53949589040000001</v>
      </c>
    </row>
    <row r="736" spans="1:6" x14ac:dyDescent="0.4">
      <c r="A736" s="4">
        <v>642.4949499999999</v>
      </c>
      <c r="B736" s="4">
        <v>1.0539539</v>
      </c>
      <c r="C736" s="4">
        <v>1.0320745</v>
      </c>
      <c r="D736" s="4">
        <v>-30.065867999999998</v>
      </c>
      <c r="E736" s="4">
        <f>((-42.7342383/(10/9))+-10.5)+-0.4</f>
        <v>-49.360814470000001</v>
      </c>
      <c r="F736" s="4">
        <f>((-0.46068653*(1.3/1.5))*0.6)-0.3</f>
        <v>-0.53955699559999992</v>
      </c>
    </row>
    <row r="737" spans="1:6" x14ac:dyDescent="0.4">
      <c r="A737" s="4">
        <v>643.36987499999998</v>
      </c>
      <c r="B737" s="4">
        <v>1.0536741999999999</v>
      </c>
      <c r="C737" s="4">
        <v>1.0319871</v>
      </c>
      <c r="D737" s="4">
        <v>-30.06467</v>
      </c>
      <c r="E737" s="4">
        <f>((-42.7432329/(10/9))+-10.5)+-0.4</f>
        <v>-49.368909609999996</v>
      </c>
      <c r="F737" s="4">
        <f>((-0.46085721*(1.3/1.5))*0.6)-0.3</f>
        <v>-0.53964574919999997</v>
      </c>
    </row>
    <row r="738" spans="1:6" x14ac:dyDescent="0.4">
      <c r="A738" s="4">
        <v>644.24480000000005</v>
      </c>
      <c r="B738" s="4">
        <v>1.0538293999999999</v>
      </c>
      <c r="C738" s="4">
        <v>1.0321465000000001</v>
      </c>
      <c r="D738" s="4">
        <v>-30.063399999999998</v>
      </c>
      <c r="E738" s="4">
        <f>((-42.7668777/(10/9))+-10.5)+-0.4</f>
        <v>-49.390189929999998</v>
      </c>
      <c r="F738" s="4">
        <f>((-0.46106303*(1.3/1.5))*0.6)-0.3</f>
        <v>-0.53975277560000001</v>
      </c>
    </row>
    <row r="739" spans="1:6" x14ac:dyDescent="0.4">
      <c r="A739" s="4">
        <v>645.11972500000002</v>
      </c>
      <c r="B739" s="4">
        <v>1.0537281000000001</v>
      </c>
      <c r="C739" s="4">
        <v>1.0319092999999999</v>
      </c>
      <c r="D739" s="4">
        <v>-30.061768999999998</v>
      </c>
      <c r="E739" s="4">
        <f>((-42.7973337/(10/9))+-10.5)+-0.4</f>
        <v>-49.417600329999999</v>
      </c>
      <c r="F739" s="4">
        <f>((-0.46131057*(1.3/1.5))*0.6)-0.3</f>
        <v>-0.53988149640000005</v>
      </c>
    </row>
    <row r="740" spans="1:6" x14ac:dyDescent="0.4">
      <c r="A740" s="4">
        <v>645.99464999999998</v>
      </c>
      <c r="B740" s="4">
        <v>1.0537106999999999</v>
      </c>
      <c r="C740" s="4">
        <v>1.0320392</v>
      </c>
      <c r="D740" s="4">
        <v>-30.059927999999999</v>
      </c>
      <c r="E740" s="4">
        <f>((-42.6956112/(10/9))+-10.5)+-0.4</f>
        <v>-49.326050080000002</v>
      </c>
      <c r="F740" s="4">
        <f>((-0.46158931*(1.3/1.5))*0.6)-0.3</f>
        <v>-0.54002644119999998</v>
      </c>
    </row>
    <row r="741" spans="1:6" x14ac:dyDescent="0.4">
      <c r="A741" s="4">
        <v>646.86957499999994</v>
      </c>
      <c r="B741" s="4">
        <v>1.0538402</v>
      </c>
      <c r="C741" s="4">
        <v>1.0318503000000001</v>
      </c>
      <c r="D741" s="4">
        <v>-30.058706000000001</v>
      </c>
      <c r="E741" s="4">
        <f>((-42.7585869/(10/9))+-10.5)+-0.4</f>
        <v>-49.382728209999996</v>
      </c>
      <c r="F741" s="4">
        <f>((-0.46188483*(1.3/1.5))*0.6)-0.3</f>
        <v>-0.54018011160000001</v>
      </c>
    </row>
    <row r="742" spans="1:6" x14ac:dyDescent="0.4">
      <c r="A742" s="4">
        <v>647.74450000000002</v>
      </c>
      <c r="B742" s="4">
        <v>1.0534595</v>
      </c>
      <c r="C742" s="4">
        <v>1.0317913999999999</v>
      </c>
      <c r="D742" s="4">
        <v>-30.057137999999998</v>
      </c>
      <c r="E742" s="4">
        <f>((-42.7643064/(10/9))+-10.5)+-0.4</f>
        <v>-49.38787576</v>
      </c>
      <c r="F742" s="4">
        <f>((-0.46214187*(1.3/1.5))*0.6)-0.3</f>
        <v>-0.5403137724</v>
      </c>
    </row>
    <row r="743" spans="1:6" x14ac:dyDescent="0.4">
      <c r="A743" s="4">
        <v>648.61942500000009</v>
      </c>
      <c r="B743" s="4">
        <v>1.0533963</v>
      </c>
      <c r="C743" s="4">
        <v>1.0319444</v>
      </c>
      <c r="D743" s="4">
        <v>-30.055682000000001</v>
      </c>
      <c r="E743" s="4">
        <f>((-42.6548718/(10/9))+-10.5)+-0.4</f>
        <v>-49.28938462</v>
      </c>
      <c r="F743" s="4">
        <f>((-0.46232209*(1.3/1.5))*0.6)-0.3</f>
        <v>-0.54040748679999995</v>
      </c>
    </row>
    <row r="744" spans="1:6" x14ac:dyDescent="0.4">
      <c r="A744" s="4">
        <v>649.49434999999994</v>
      </c>
      <c r="B744" s="4">
        <v>1.0535371</v>
      </c>
      <c r="C744" s="4">
        <v>1.0318483000000001</v>
      </c>
      <c r="D744" s="4">
        <v>-30.054074</v>
      </c>
      <c r="E744" s="4">
        <f>((-42.7178646/(10/9))+-10.5)+-0.4</f>
        <v>-49.346078139999996</v>
      </c>
      <c r="F744" s="4">
        <f>((-0.46250993*(1.3/1.5))*0.6)-0.3</f>
        <v>-0.5405051636</v>
      </c>
    </row>
    <row r="745" spans="1:6" x14ac:dyDescent="0.4">
      <c r="A745" s="4">
        <v>650.36927500000002</v>
      </c>
      <c r="B745" s="4">
        <v>1.0534209000000001</v>
      </c>
      <c r="C745" s="4">
        <v>1.0319400999999999</v>
      </c>
      <c r="D745" s="4">
        <v>-30.052410999999999</v>
      </c>
      <c r="E745" s="4">
        <f>((-42.6259233/(10/9))+-10.5)+-0.4</f>
        <v>-49.263330969999991</v>
      </c>
      <c r="F745" s="4">
        <f>((-0.46278122*(1.3/1.5))*0.6)-0.3</f>
        <v>-0.54064623440000004</v>
      </c>
    </row>
    <row r="746" spans="1:6" x14ac:dyDescent="0.4">
      <c r="A746" s="4">
        <v>651.24419999999998</v>
      </c>
      <c r="B746" s="4">
        <v>1.0530485999999999</v>
      </c>
      <c r="C746" s="4">
        <v>1.0318537999999999</v>
      </c>
      <c r="D746" s="4">
        <v>-30.051050999999998</v>
      </c>
      <c r="E746" s="4">
        <f>((-42.7213773/(10/9))+-10.5)+-0.4</f>
        <v>-49.349239569999995</v>
      </c>
      <c r="F746" s="4">
        <f>((-0.46306777*(1.3/1.5))*0.6)-0.3</f>
        <v>-0.54079524040000004</v>
      </c>
    </row>
    <row r="747" spans="1:6" x14ac:dyDescent="0.4">
      <c r="A747" s="4">
        <v>652.11912500000005</v>
      </c>
      <c r="B747" s="4">
        <v>1.0529732999999999</v>
      </c>
      <c r="C747" s="4">
        <v>1.0318894000000001</v>
      </c>
      <c r="D747" s="4">
        <v>-30.049481999999998</v>
      </c>
      <c r="E747" s="4">
        <f>((-42.5578833/(10/9))+-10.5)+-0.4</f>
        <v>-49.202094969999997</v>
      </c>
      <c r="F747" s="4">
        <f>((-0.46333814*(1.3/1.5))*0.6)-0.3</f>
        <v>-0.54093583280000002</v>
      </c>
    </row>
    <row r="748" spans="1:6" x14ac:dyDescent="0.4">
      <c r="A748" s="4">
        <v>652.99405000000002</v>
      </c>
      <c r="B748" s="4">
        <v>1.0531843999999999</v>
      </c>
      <c r="C748" s="4">
        <v>1.0319014</v>
      </c>
      <c r="D748" s="4">
        <v>-30.047704</v>
      </c>
      <c r="E748" s="4">
        <f>((-42.7162887/(10/9))+-10.5)+-0.4</f>
        <v>-49.344659829999998</v>
      </c>
      <c r="F748" s="4">
        <f>((-0.46351084*(1.3/1.5))*0.6)-0.3</f>
        <v>-0.54102563679999993</v>
      </c>
    </row>
    <row r="749" spans="1:6" x14ac:dyDescent="0.4">
      <c r="A749" s="4">
        <v>653.86897499999998</v>
      </c>
      <c r="B749" s="4">
        <v>1.0530379000000001</v>
      </c>
      <c r="C749" s="4">
        <v>1.0319083</v>
      </c>
      <c r="D749" s="4">
        <v>-30.046478999999998</v>
      </c>
      <c r="E749" s="4">
        <f>((-42.4892259/(10/9))+-10.5)+-0.4</f>
        <v>-49.14030331</v>
      </c>
      <c r="F749" s="4">
        <f>((-0.46363953*(1.3/1.5))*0.6)-0.3</f>
        <v>-0.54109255560000002</v>
      </c>
    </row>
    <row r="750" spans="1:6" x14ac:dyDescent="0.4">
      <c r="A750" s="4">
        <v>654.74390000000005</v>
      </c>
      <c r="B750" s="4">
        <v>1.0529671</v>
      </c>
      <c r="C750" s="4">
        <v>1.0319579999999999</v>
      </c>
      <c r="D750" s="4">
        <v>-30.044516999999999</v>
      </c>
      <c r="E750" s="4">
        <f>((-42.5703429/(10/9))+-10.5)+-0.4</f>
        <v>-49.213308609999999</v>
      </c>
      <c r="F750" s="4">
        <f>((-0.46369064*(1.3/1.5))*0.6)-0.3</f>
        <v>-0.54111913280000001</v>
      </c>
    </row>
    <row r="751" spans="1:6" x14ac:dyDescent="0.4">
      <c r="A751" s="4">
        <v>655.6188249999999</v>
      </c>
      <c r="B751" s="4">
        <v>1.0529170000000001</v>
      </c>
      <c r="C751" s="4">
        <v>1.0319723000000001</v>
      </c>
      <c r="D751" s="4">
        <v>-30.043298</v>
      </c>
      <c r="E751" s="4">
        <f>((-42.5546559/(10/9))+-10.5)+-0.4</f>
        <v>-49.199190309999999</v>
      </c>
      <c r="F751" s="4">
        <f>((-0.46382064*(1.3/1.5))*0.6)-0.3</f>
        <v>-0.54118673279999996</v>
      </c>
    </row>
    <row r="752" spans="1:6" x14ac:dyDescent="0.4">
      <c r="A752" s="4">
        <v>656.49374999999998</v>
      </c>
      <c r="B752" s="4">
        <v>1.0530461</v>
      </c>
      <c r="C752" s="4">
        <v>1.0320398</v>
      </c>
      <c r="D752" s="4">
        <v>-30.041948999999999</v>
      </c>
      <c r="E752" s="4">
        <f>((-42.6285396/(10/9))+-10.5)+-0.4</f>
        <v>-49.265685640000001</v>
      </c>
      <c r="F752" s="4">
        <f>((-0.46409747*(1.3/1.5))*0.6)-0.3</f>
        <v>-0.54133068439999998</v>
      </c>
    </row>
    <row r="753" spans="1:6" x14ac:dyDescent="0.4">
      <c r="A753" s="4">
        <v>657.36867500000005</v>
      </c>
      <c r="B753" s="4">
        <v>1.052897</v>
      </c>
      <c r="C753" s="4">
        <v>1.0318556000000001</v>
      </c>
      <c r="D753" s="4">
        <v>-30.040088000000001</v>
      </c>
      <c r="E753" s="4">
        <f>((-42.7009563/(10/9))+-10.5)+-0.4</f>
        <v>-49.33086067</v>
      </c>
      <c r="F753" s="4">
        <f>((-0.46431607*(1.3/1.5))*0.6)-0.3</f>
        <v>-0.54144435639999999</v>
      </c>
    </row>
    <row r="754" spans="1:6" x14ac:dyDescent="0.4">
      <c r="A754" s="4">
        <v>658.24360000000001</v>
      </c>
      <c r="B754" s="4">
        <v>1.0526918999999999</v>
      </c>
      <c r="C754" s="4">
        <v>1.0318415999999999</v>
      </c>
      <c r="D754" s="4">
        <v>-30.038425</v>
      </c>
      <c r="E754" s="4">
        <f>((-42.6428217/(10/9))+-10.5)+-0.4</f>
        <v>-49.278539529999996</v>
      </c>
      <c r="F754" s="4">
        <f>((-0.46450746*(1.3/1.5))*0.6)-0.3</f>
        <v>-0.54154387920000002</v>
      </c>
    </row>
    <row r="755" spans="1:6" x14ac:dyDescent="0.4">
      <c r="A755" s="4">
        <v>659.11852499999998</v>
      </c>
      <c r="B755" s="4">
        <v>1.0524954</v>
      </c>
      <c r="C755" s="4">
        <v>1.0317346999999999</v>
      </c>
      <c r="D755" s="4">
        <v>-30.036640999999999</v>
      </c>
      <c r="E755" s="4">
        <f>((-42.5552292/(10/9))+-10.5)+-0.4</f>
        <v>-49.199706279999994</v>
      </c>
      <c r="F755" s="4">
        <f>((-0.46469635*(1.3/1.5))*0.6)-0.3</f>
        <v>-0.54164210199999996</v>
      </c>
    </row>
    <row r="756" spans="1:6" x14ac:dyDescent="0.4">
      <c r="A756" s="4">
        <v>659.99344999999994</v>
      </c>
      <c r="B756" s="4">
        <v>1.05237</v>
      </c>
      <c r="C756" s="4">
        <v>1.0317054000000001</v>
      </c>
      <c r="D756" s="4">
        <v>-30.034670999999999</v>
      </c>
      <c r="E756" s="4">
        <f>((-42.5219652/(10/9))+-10.5)+-0.4</f>
        <v>-49.169768679999997</v>
      </c>
      <c r="F756" s="4">
        <f>((-0.46484613*(1.3/1.5))*0.6)-0.3</f>
        <v>-0.54171998760000006</v>
      </c>
    </row>
    <row r="757" spans="1:6" x14ac:dyDescent="0.4">
      <c r="A757" s="4">
        <v>660.86837500000001</v>
      </c>
      <c r="B757" s="4">
        <v>1.0525245999999999</v>
      </c>
      <c r="C757" s="4">
        <v>1.0318103999999999</v>
      </c>
      <c r="D757" s="4">
        <v>-30.033244</v>
      </c>
      <c r="E757" s="4">
        <f>((-42.4346481/(10/9))+-10.5)+-0.4</f>
        <v>-49.091183289999996</v>
      </c>
      <c r="F757" s="4">
        <f>((-0.46501189*(1.3/1.5))*0.6)-0.3</f>
        <v>-0.54180618280000004</v>
      </c>
    </row>
    <row r="758" spans="1:6" x14ac:dyDescent="0.4">
      <c r="A758" s="4">
        <v>661.74330000000009</v>
      </c>
      <c r="B758" s="4">
        <v>1.0525268000000001</v>
      </c>
      <c r="C758" s="4">
        <v>1.0316832</v>
      </c>
      <c r="D758" s="4">
        <v>-30.031683999999998</v>
      </c>
      <c r="E758" s="4">
        <f>((-42.5066085/(10/9))+-10.5)+-0.4</f>
        <v>-49.155947649999995</v>
      </c>
      <c r="F758" s="4">
        <f>((-0.46528116*(1.3/1.5))*0.6)-0.3</f>
        <v>-0.54194620319999998</v>
      </c>
    </row>
    <row r="759" spans="1:6" x14ac:dyDescent="0.4">
      <c r="A759" s="4">
        <v>662.61822499999994</v>
      </c>
      <c r="B759" s="4">
        <v>1.0524526999999999</v>
      </c>
      <c r="C759" s="4">
        <v>1.0317719000000001</v>
      </c>
      <c r="D759" s="4">
        <v>-30.030066999999999</v>
      </c>
      <c r="E759" s="4">
        <f>((-42.4038141/(10/9))+-10.5)+-0.4</f>
        <v>-49.063432689999992</v>
      </c>
      <c r="F759" s="4">
        <f>((-0.4655003*(1.3/1.5))*0.6)-0.3</f>
        <v>-0.54206015600000002</v>
      </c>
    </row>
    <row r="760" spans="1:6" x14ac:dyDescent="0.4">
      <c r="A760" s="4">
        <v>663.49315000000001</v>
      </c>
      <c r="B760" s="4">
        <v>1.0523567</v>
      </c>
      <c r="C760" s="4">
        <v>1.0317582999999999</v>
      </c>
      <c r="D760" s="4">
        <v>-30.028489</v>
      </c>
      <c r="E760" s="4">
        <f>((-42.5879208/(10/9))+-10.5)+-0.4</f>
        <v>-49.229128719999999</v>
      </c>
      <c r="F760" s="4">
        <f>((-0.46564943*(1.3/1.5))*0.6)-0.3</f>
        <v>-0.54213770359999991</v>
      </c>
    </row>
    <row r="761" spans="1:6" x14ac:dyDescent="0.4">
      <c r="A761" s="4">
        <v>664.36807499999998</v>
      </c>
      <c r="B761" s="4">
        <v>1.0523591000000001</v>
      </c>
      <c r="C761" s="4">
        <v>1.0317065999999999</v>
      </c>
      <c r="D761" s="4">
        <v>-30.026848999999999</v>
      </c>
      <c r="E761" s="4">
        <f>((-42.43473/(10/9))+-10.5)+-0.4</f>
        <v>-49.091256999999999</v>
      </c>
      <c r="F761" s="4">
        <f>((-0.46589485*(1.3/1.5))*0.6)-0.3</f>
        <v>-0.54226532199999999</v>
      </c>
    </row>
    <row r="762" spans="1:6" x14ac:dyDescent="0.4">
      <c r="A762" s="4">
        <v>665.24300000000005</v>
      </c>
      <c r="B762" s="4">
        <v>1.0523378000000001</v>
      </c>
      <c r="C762" s="4">
        <v>1.0316069000000001</v>
      </c>
      <c r="D762" s="4">
        <v>-30.025043</v>
      </c>
      <c r="E762" s="4">
        <f>((-42.4761039/(10/9))+-10.5)+-0.4</f>
        <v>-49.128493509999998</v>
      </c>
      <c r="F762" s="4">
        <f>((-0.46607912*(1.3/1.5))*0.6)-0.3</f>
        <v>-0.5423611424</v>
      </c>
    </row>
    <row r="763" spans="1:6" x14ac:dyDescent="0.4">
      <c r="A763" s="4">
        <v>666.11792500000001</v>
      </c>
      <c r="B763" s="4">
        <v>1.0521189</v>
      </c>
      <c r="C763" s="4">
        <v>1.0316333</v>
      </c>
      <c r="D763" s="4">
        <v>-30.023229000000001</v>
      </c>
      <c r="E763" s="4">
        <f>((-42.4483947/(10/9))+-10.5)+-0.4</f>
        <v>-49.103555229999998</v>
      </c>
      <c r="F763" s="4">
        <f>((-0.46626687*(1.3/1.5))*0.6)-0.3</f>
        <v>-0.54245877240000007</v>
      </c>
    </row>
    <row r="764" spans="1:6" x14ac:dyDescent="0.4">
      <c r="A764" s="4">
        <v>666.99284999999998</v>
      </c>
      <c r="B764" s="4">
        <v>1.0521853000000001</v>
      </c>
      <c r="C764" s="4">
        <v>1.0318073000000001</v>
      </c>
      <c r="D764" s="4">
        <v>-30.021660999999998</v>
      </c>
      <c r="E764" s="4">
        <f>((-42.539265/(10/9))+-10.5)+-0.4</f>
        <v>-49.1853385</v>
      </c>
      <c r="F764" s="4">
        <f>((-0.46648231*(1.3/1.5))*0.6)-0.3</f>
        <v>-0.54257080120000001</v>
      </c>
    </row>
    <row r="765" spans="1:6" x14ac:dyDescent="0.4">
      <c r="A765" s="4">
        <v>667.86777500000005</v>
      </c>
      <c r="B765" s="4">
        <v>1.0519927</v>
      </c>
      <c r="C765" s="4">
        <v>1.0317708999999999</v>
      </c>
      <c r="D765" s="4">
        <v>-30.019894999999998</v>
      </c>
      <c r="E765" s="4">
        <f>((-42.4843605/(10/9))+-10.5)+-0.4</f>
        <v>-49.135924449999997</v>
      </c>
      <c r="F765" s="4">
        <f>((-0.46666196*(1.3/1.5))*0.6)-0.3</f>
        <v>-0.54266421919999996</v>
      </c>
    </row>
    <row r="766" spans="1:6" x14ac:dyDescent="0.4">
      <c r="A766" s="4">
        <v>668.7426999999999</v>
      </c>
      <c r="B766" s="4">
        <v>1.0521031999999999</v>
      </c>
      <c r="C766" s="4">
        <v>1.0316516</v>
      </c>
      <c r="D766" s="4">
        <v>-30.018552</v>
      </c>
      <c r="E766" s="4">
        <f>((-42.354468/(10/9))+-10.5)+-0.4</f>
        <v>-49.019021199999997</v>
      </c>
      <c r="F766" s="4">
        <f>((-0.46689108*(1.3/1.5))*0.6)-0.3</f>
        <v>-0.54278336159999996</v>
      </c>
    </row>
    <row r="767" spans="1:6" x14ac:dyDescent="0.4">
      <c r="A767" s="4">
        <v>669.61762499999998</v>
      </c>
      <c r="B767" s="4">
        <v>1.052057</v>
      </c>
      <c r="C767" s="4">
        <v>1.0316273</v>
      </c>
      <c r="D767" s="4">
        <v>-30.016873999999998</v>
      </c>
      <c r="E767" s="4">
        <f>((-42.4322964/(10/9))+-10.5)+-0.4</f>
        <v>-49.089066759999994</v>
      </c>
      <c r="F767" s="4">
        <f>((-0.46717343*(1.3/1.5))*0.6)-0.3</f>
        <v>-0.5429301836</v>
      </c>
    </row>
    <row r="768" spans="1:6" x14ac:dyDescent="0.4">
      <c r="A768" s="4">
        <v>670.49255000000005</v>
      </c>
      <c r="B768" s="4">
        <v>1.052044</v>
      </c>
      <c r="C768" s="4">
        <v>1.0316027000000001</v>
      </c>
      <c r="D768" s="4">
        <v>-30.015138</v>
      </c>
      <c r="E768" s="4">
        <f>((-42.4243485/(10/9))+-10.5)+-0.4</f>
        <v>-49.081913649999997</v>
      </c>
      <c r="F768" s="4">
        <f>((-0.46741703*(1.3/1.5))*0.6)-0.3</f>
        <v>-0.54305685559999994</v>
      </c>
    </row>
    <row r="769" spans="1:6" x14ac:dyDescent="0.4">
      <c r="A769" s="4">
        <v>671.36747500000001</v>
      </c>
      <c r="B769" s="4">
        <v>1.0518844999999999</v>
      </c>
      <c r="C769" s="4">
        <v>1.0317757000000001</v>
      </c>
      <c r="D769" s="4">
        <v>-30.013659999999998</v>
      </c>
      <c r="E769" s="4">
        <f>((-42.4204929/(10/9))+-10.5)+-0.4</f>
        <v>-49.078443609999994</v>
      </c>
      <c r="F769" s="4">
        <f>((-0.46758932*(1.3/1.5))*0.6)-0.3</f>
        <v>-0.54314644639999998</v>
      </c>
    </row>
    <row r="770" spans="1:6" x14ac:dyDescent="0.4">
      <c r="A770" s="4">
        <v>672.24239999999998</v>
      </c>
      <c r="B770" s="4">
        <v>1.0518779</v>
      </c>
      <c r="C770" s="4">
        <v>1.0316259999999999</v>
      </c>
      <c r="D770" s="4">
        <v>-30.012032999999999</v>
      </c>
      <c r="E770" s="4">
        <f>((-42.4661508/(10/9))+-10.5)+-0.4</f>
        <v>-49.119535719999995</v>
      </c>
      <c r="F770" s="4">
        <f>((-0.46770826*(1.3/1.5))*0.6)-0.3</f>
        <v>-0.54320829519999991</v>
      </c>
    </row>
    <row r="771" spans="1:6" x14ac:dyDescent="0.4">
      <c r="A771" s="4">
        <v>673.11732499999994</v>
      </c>
      <c r="B771" s="4">
        <v>1.0516866</v>
      </c>
      <c r="C771" s="4">
        <v>1.0316201</v>
      </c>
      <c r="D771" s="4">
        <v>-30.010618999999998</v>
      </c>
      <c r="E771" s="4">
        <f>((-42.4366146/(10/9))+-10.5)+-0.4</f>
        <v>-49.092953139999999</v>
      </c>
      <c r="F771" s="4">
        <f>((-0.46791428*(1.3/1.5))*0.6)-0.3</f>
        <v>-0.54331542560000001</v>
      </c>
    </row>
    <row r="772" spans="1:6" x14ac:dyDescent="0.4">
      <c r="A772" s="4">
        <v>673.99225000000001</v>
      </c>
      <c r="B772" s="4">
        <v>1.0515943999999999</v>
      </c>
      <c r="C772" s="4">
        <v>1.0313817000000001</v>
      </c>
      <c r="D772" s="4">
        <v>-30.009197999999998</v>
      </c>
      <c r="E772" s="4">
        <f>((-42.3330822/(10/9))+-10.5)+-0.4</f>
        <v>-48.999773979999993</v>
      </c>
      <c r="F772" s="4">
        <f>((-0.46814737*(1.3/1.5))*0.6)-0.3</f>
        <v>-0.54343663239999995</v>
      </c>
    </row>
    <row r="773" spans="1:6" x14ac:dyDescent="0.4">
      <c r="A773" s="4">
        <v>674.86717500000009</v>
      </c>
      <c r="B773" s="4">
        <v>1.0515207</v>
      </c>
      <c r="C773" s="4">
        <v>1.0315913999999999</v>
      </c>
      <c r="D773" s="4">
        <v>-30.007666999999998</v>
      </c>
      <c r="E773" s="4">
        <f>((-42.3918009/(10/9))+-10.5)+-0.4</f>
        <v>-49.052620809999993</v>
      </c>
      <c r="F773" s="4">
        <f>((-0.4683775*(1.3/1.5))*0.6)-0.3</f>
        <v>-0.54355629999999999</v>
      </c>
    </row>
    <row r="774" spans="1:6" x14ac:dyDescent="0.4">
      <c r="A774" s="4">
        <v>675.74209999999994</v>
      </c>
      <c r="B774" s="4">
        <v>1.0514771999999999</v>
      </c>
      <c r="C774" s="4">
        <v>1.0314778</v>
      </c>
      <c r="D774" s="4">
        <v>-30.006383</v>
      </c>
      <c r="E774" s="4">
        <f>((-42.3572868/(10/9))+-10.5)+-0.4</f>
        <v>-49.021558119999995</v>
      </c>
      <c r="F774" s="4">
        <f>((-0.46858129*(1.3/1.5))*0.6)-0.3</f>
        <v>-0.54366227079999996</v>
      </c>
    </row>
    <row r="775" spans="1:6" x14ac:dyDescent="0.4">
      <c r="A775" s="4">
        <v>676.61702500000001</v>
      </c>
      <c r="B775" s="4">
        <v>1.0513532000000001</v>
      </c>
      <c r="C775" s="4">
        <v>1.0316436</v>
      </c>
      <c r="D775" s="4">
        <v>-30.004773</v>
      </c>
      <c r="E775" s="4">
        <f>((-42.5186658/(10/9))+-10.5)+-0.4</f>
        <v>-49.166799219999994</v>
      </c>
      <c r="F775" s="4">
        <f>((-0.46882075*(1.3/1.5))*0.6)-0.3</f>
        <v>-0.54378678999999996</v>
      </c>
    </row>
    <row r="776" spans="1:6" x14ac:dyDescent="0.4">
      <c r="A776" s="4">
        <v>677.49194999999997</v>
      </c>
      <c r="B776" s="4">
        <v>1.0515779000000001</v>
      </c>
      <c r="C776" s="4">
        <v>1.0317632999999999</v>
      </c>
      <c r="D776" s="4">
        <v>-30.003126999999999</v>
      </c>
      <c r="E776" s="4">
        <f>((-42.3784629/(10/9))+-10.5)+-0.4</f>
        <v>-49.040616610000001</v>
      </c>
      <c r="F776" s="4">
        <f>((-0.4690513*(1.3/1.5))*0.6)-0.3</f>
        <v>-0.54390667599999998</v>
      </c>
    </row>
    <row r="777" spans="1:6" x14ac:dyDescent="0.4">
      <c r="A777" s="4">
        <v>678.36687500000005</v>
      </c>
      <c r="B777" s="4">
        <v>1.051437</v>
      </c>
      <c r="C777" s="4">
        <v>1.0316430000000001</v>
      </c>
      <c r="D777" s="4">
        <v>-30.001718</v>
      </c>
      <c r="E777" s="4">
        <f>((-42.2992485/(10/9))+-10.5)+-0.4</f>
        <v>-48.969323649999993</v>
      </c>
      <c r="F777" s="4">
        <f>((-0.46923423*(1.3/1.5))*0.6)-0.3</f>
        <v>-0.54400179959999995</v>
      </c>
    </row>
    <row r="778" spans="1:6" x14ac:dyDescent="0.4">
      <c r="A778" s="4">
        <v>679.24180000000001</v>
      </c>
      <c r="B778" s="4">
        <v>1.0512078</v>
      </c>
      <c r="C778" s="4">
        <v>1.0314772000000001</v>
      </c>
      <c r="D778" s="4">
        <v>-30.000164999999999</v>
      </c>
      <c r="E778" s="4">
        <f>((-42.3962541/(10/9))+-10.5)+-0.4</f>
        <v>-49.056628689999997</v>
      </c>
      <c r="F778" s="4">
        <f>((-0.4693543*(1.3/1.5))*0.6)-0.3</f>
        <v>-0.54406423599999998</v>
      </c>
    </row>
    <row r="779" spans="1:6" x14ac:dyDescent="0.4">
      <c r="A779" s="4">
        <v>680.11672499999997</v>
      </c>
      <c r="B779" s="4">
        <v>1.0513756000000001</v>
      </c>
      <c r="C779" s="4">
        <v>1.0314198999999999</v>
      </c>
      <c r="D779" s="4">
        <v>-29.998615000000001</v>
      </c>
      <c r="E779" s="4">
        <f>((-42.4114353/(10/9))+-10.5)+-0.4</f>
        <v>-49.070291769999997</v>
      </c>
      <c r="F779" s="4">
        <f>((-0.46954021*(1.3/1.5))*0.6)-0.3</f>
        <v>-0.54416090919999993</v>
      </c>
    </row>
    <row r="780" spans="1:6" x14ac:dyDescent="0.4">
      <c r="A780" s="4">
        <v>680.99165000000005</v>
      </c>
      <c r="B780" s="4">
        <v>1.0514174999999999</v>
      </c>
      <c r="C780" s="4">
        <v>1.0315719999999999</v>
      </c>
      <c r="D780" s="4">
        <v>-29.997654999999998</v>
      </c>
      <c r="E780" s="4">
        <f>((-42.2113194/(10/9))+-10.5)+-0.4</f>
        <v>-48.89018746</v>
      </c>
      <c r="F780" s="4">
        <f>((-0.4696787*(1.3/1.5))*0.6)-0.3</f>
        <v>-0.54423292400000001</v>
      </c>
    </row>
    <row r="781" spans="1:6" x14ac:dyDescent="0.4">
      <c r="A781" s="4">
        <v>681.8665749999999</v>
      </c>
      <c r="B781" s="4">
        <v>1.0514026999999999</v>
      </c>
      <c r="C781" s="4">
        <v>1.031517</v>
      </c>
      <c r="D781" s="4">
        <v>-29.996086999999999</v>
      </c>
      <c r="E781" s="4">
        <f>((-42.2026956/(10/9))+-10.5)+-0.4</f>
        <v>-48.882426039999999</v>
      </c>
      <c r="F781" s="4">
        <f>((-0.46978691*(1.3/1.5))*0.6)-0.3</f>
        <v>-0.54428919320000002</v>
      </c>
    </row>
    <row r="782" spans="1:6" x14ac:dyDescent="0.4">
      <c r="A782" s="4">
        <v>682.74149999999997</v>
      </c>
      <c r="B782" s="4">
        <v>1.0512333</v>
      </c>
      <c r="C782" s="4">
        <v>1.0314093</v>
      </c>
      <c r="D782" s="4">
        <v>-29.994803999999998</v>
      </c>
      <c r="E782" s="4">
        <f>((-42.3956529/(10/9))+-10.5)+-0.4</f>
        <v>-49.056087609999999</v>
      </c>
      <c r="F782" s="4">
        <f>((-0.46988705*(1.3/1.5))*0.6)-0.3</f>
        <v>-0.54434126599999999</v>
      </c>
    </row>
    <row r="783" spans="1:6" x14ac:dyDescent="0.4">
      <c r="A783" s="4">
        <v>683.61642500000005</v>
      </c>
      <c r="B783" s="4">
        <v>1.0511961999999999</v>
      </c>
      <c r="C783" s="4">
        <v>1.0315231</v>
      </c>
      <c r="D783" s="4">
        <v>-29.993652000000001</v>
      </c>
      <c r="E783" s="4">
        <f>((-42.2095482/(10/9))+-10.5)+-0.4</f>
        <v>-48.888593379999996</v>
      </c>
      <c r="F783" s="4">
        <f>((-0.47007272*(1.3/1.5))*0.6)-0.3</f>
        <v>-0.54443781439999994</v>
      </c>
    </row>
    <row r="784" spans="1:6" x14ac:dyDescent="0.4">
      <c r="A784" s="4">
        <v>684.49135000000001</v>
      </c>
      <c r="B784" s="4">
        <v>1.0511798000000001</v>
      </c>
      <c r="C784" s="4">
        <v>1.0315685000000001</v>
      </c>
      <c r="D784" s="4">
        <v>-29.992397</v>
      </c>
      <c r="E784" s="4">
        <f>((-42.3436842/(10/9))+-10.5)+-0.4</f>
        <v>-49.009315779999994</v>
      </c>
      <c r="F784" s="4">
        <f>((-0.47027814*(1.3/1.5))*0.6)-0.3</f>
        <v>-0.54454463279999998</v>
      </c>
    </row>
    <row r="785" spans="1:6" x14ac:dyDescent="0.4">
      <c r="A785" s="4">
        <v>685.36627499999997</v>
      </c>
      <c r="B785" s="4">
        <v>1.0509539000000001</v>
      </c>
      <c r="C785" s="4">
        <v>1.0316215</v>
      </c>
      <c r="D785" s="4">
        <v>-29.991125999999998</v>
      </c>
      <c r="E785" s="4">
        <f>((-42.2974872/(10/9))+-10.5)+-0.4</f>
        <v>-48.967738479999994</v>
      </c>
      <c r="F785" s="4">
        <f>((-0.47036293*(1.3/1.5))*0.6)-0.3</f>
        <v>-0.54458872359999999</v>
      </c>
    </row>
    <row r="786" spans="1:6" x14ac:dyDescent="0.4">
      <c r="A786" s="4">
        <v>686.24119999999994</v>
      </c>
      <c r="B786" s="4">
        <v>1.0510527000000001</v>
      </c>
      <c r="C786" s="4">
        <v>1.0314585999999999</v>
      </c>
      <c r="D786" s="4">
        <v>-29.989903999999999</v>
      </c>
      <c r="E786" s="4">
        <f>((-42.2222679/(10/9))+-10.5)+-0.4</f>
        <v>-48.900041109999997</v>
      </c>
      <c r="F786" s="4">
        <f>((-0.47050613*(1.3/1.5))*0.6)-0.3</f>
        <v>-0.54466318759999999</v>
      </c>
    </row>
    <row r="787" spans="1:6" x14ac:dyDescent="0.4">
      <c r="A787" s="4">
        <v>687.11612500000001</v>
      </c>
      <c r="B787" s="4">
        <v>1.0508392</v>
      </c>
      <c r="C787" s="4">
        <v>1.0314475000000001</v>
      </c>
      <c r="D787" s="4">
        <v>-29.988758999999998</v>
      </c>
      <c r="E787" s="4">
        <f>((-42.2003025/(10/9))+-10.5)+-0.4</f>
        <v>-48.880272249999997</v>
      </c>
      <c r="F787" s="4">
        <f>((-0.47062567*(1.3/1.5))*0.6)-0.3</f>
        <v>-0.54472534839999998</v>
      </c>
    </row>
    <row r="788" spans="1:6" x14ac:dyDescent="0.4">
      <c r="A788" s="4">
        <v>687.99105000000009</v>
      </c>
      <c r="B788" s="4">
        <v>1.0510168</v>
      </c>
      <c r="C788" s="4">
        <v>1.0316082</v>
      </c>
      <c r="D788" s="4">
        <v>-29.987848</v>
      </c>
      <c r="E788" s="4">
        <f>((-42.2244072/(10/9))+-10.5)+-0.4</f>
        <v>-48.901966479999999</v>
      </c>
      <c r="F788" s="4">
        <f>((-0.47075745*(1.3/1.5))*0.6)-0.3</f>
        <v>-0.54479387400000001</v>
      </c>
    </row>
    <row r="789" spans="1:6" x14ac:dyDescent="0.4">
      <c r="A789" s="4">
        <v>688.86597499999993</v>
      </c>
      <c r="B789" s="4">
        <v>1.0510265000000001</v>
      </c>
      <c r="C789" s="4">
        <v>1.0317041</v>
      </c>
      <c r="D789" s="4">
        <v>-29.986443999999999</v>
      </c>
      <c r="E789" s="4">
        <f>((-42.1423947/(10/9))+-10.5)+-0.4</f>
        <v>-48.828155229999993</v>
      </c>
      <c r="F789" s="4">
        <f>((-0.47102001*(1.3/1.5))*0.6)-0.3</f>
        <v>-0.54493040519999991</v>
      </c>
    </row>
    <row r="790" spans="1:6" x14ac:dyDescent="0.4">
      <c r="A790" s="4">
        <v>689.74090000000001</v>
      </c>
      <c r="B790" s="4">
        <v>1.0512010000000001</v>
      </c>
      <c r="C790" s="4">
        <v>1.0316197</v>
      </c>
      <c r="D790" s="4">
        <v>-29.985661999999998</v>
      </c>
      <c r="E790" s="4">
        <f>((-42.206805/(10/9))+-10.5)+-0.4</f>
        <v>-48.886124500000001</v>
      </c>
      <c r="F790" s="4">
        <f>((-0.47134417*(1.3/1.5))*0.6)-0.3</f>
        <v>-0.54509896840000005</v>
      </c>
    </row>
    <row r="791" spans="1:6" x14ac:dyDescent="0.4">
      <c r="A791" s="4">
        <v>690.61582499999997</v>
      </c>
      <c r="B791" s="4">
        <v>1.0509166000000001</v>
      </c>
      <c r="C791" s="4">
        <v>1.0313635000000001</v>
      </c>
      <c r="D791" s="4">
        <v>-29.984442999999999</v>
      </c>
      <c r="E791" s="4">
        <f>((-42.2439426/(10/9))+-10.5)+-0.4</f>
        <v>-48.919548339999992</v>
      </c>
      <c r="F791" s="4">
        <f>((-0.47161883*(1.3/1.5))*0.6)-0.3</f>
        <v>-0.54524179159999997</v>
      </c>
    </row>
    <row r="792" spans="1:6" x14ac:dyDescent="0.4">
      <c r="A792" s="4">
        <v>691.49075000000005</v>
      </c>
      <c r="B792" s="4">
        <v>1.0508447000000001</v>
      </c>
      <c r="C792" s="4">
        <v>1.0316082</v>
      </c>
      <c r="D792" s="4">
        <v>-29.983117</v>
      </c>
      <c r="E792" s="4">
        <f>((-42.2135136/(10/9))+-10.5)+-0.4</f>
        <v>-48.892162239999998</v>
      </c>
      <c r="F792" s="4">
        <f>((-0.47175038*(1.3/1.5))*0.6)-0.3</f>
        <v>-0.54531019759999999</v>
      </c>
    </row>
    <row r="793" spans="1:6" x14ac:dyDescent="0.4">
      <c r="A793" s="4">
        <v>692.36567500000001</v>
      </c>
      <c r="B793" s="4">
        <v>1.0509161</v>
      </c>
      <c r="C793" s="4">
        <v>1.0315194000000001</v>
      </c>
      <c r="D793" s="4">
        <v>-29.982581</v>
      </c>
      <c r="E793" s="4">
        <f>((-42.2137332/(10/9))+-10.5)+-0.4</f>
        <v>-48.892359879999994</v>
      </c>
      <c r="F793" s="4">
        <f>((-0.47185206*(1.3/1.5))*0.6)-0.3</f>
        <v>-0.54536307119999994</v>
      </c>
    </row>
    <row r="794" spans="1:6" x14ac:dyDescent="0.4">
      <c r="A794" s="4">
        <v>693.24059999999997</v>
      </c>
      <c r="B794" s="4">
        <v>1.0508748999999999</v>
      </c>
      <c r="C794" s="4">
        <v>1.0314846</v>
      </c>
      <c r="D794" s="4">
        <v>-29.981510999999998</v>
      </c>
      <c r="E794" s="4">
        <f>((-42.1906068/(10/9))+-10.5)+-0.4</f>
        <v>-48.871546119999998</v>
      </c>
      <c r="F794" s="4">
        <f>((-0.4720175*(1.3/1.5))*0.6)-0.3</f>
        <v>-0.54544909999999991</v>
      </c>
    </row>
    <row r="795" spans="1:6" x14ac:dyDescent="0.4">
      <c r="A795" s="4">
        <v>694.11552500000005</v>
      </c>
      <c r="B795" s="4">
        <v>1.0506769</v>
      </c>
      <c r="C795" s="4">
        <v>1.0316046000000001</v>
      </c>
      <c r="D795" s="4">
        <v>-29.980551999999999</v>
      </c>
      <c r="E795" s="4">
        <f>((-42.1658469/(10/9))+-10.5)+-0.4</f>
        <v>-48.849262209999992</v>
      </c>
      <c r="F795" s="4">
        <f>((-0.47221524*(1.3/1.5))*0.6)-0.3</f>
        <v>-0.54555192480000003</v>
      </c>
    </row>
    <row r="796" spans="1:6" x14ac:dyDescent="0.4">
      <c r="A796" s="4">
        <v>694.99045000000001</v>
      </c>
      <c r="B796" s="4">
        <v>1.0507302000000001</v>
      </c>
      <c r="C796" s="4">
        <v>1.0314699000000001</v>
      </c>
      <c r="D796" s="4">
        <v>-29.979759999999999</v>
      </c>
      <c r="E796" s="4">
        <f>((-42.096159/(10/9))+-10.5)+-0.4</f>
        <v>-48.786543099999996</v>
      </c>
      <c r="F796" s="4">
        <f>((-0.4723821*(1.3/1.5))*0.6)-0.3</f>
        <v>-0.54563869200000004</v>
      </c>
    </row>
    <row r="797" spans="1:6" x14ac:dyDescent="0.4">
      <c r="A797" s="4">
        <v>695.86537499999997</v>
      </c>
      <c r="B797" s="4">
        <v>1.0507892000000001</v>
      </c>
      <c r="C797" s="4">
        <v>1.0314867000000001</v>
      </c>
      <c r="D797" s="4">
        <v>-29.978670999999999</v>
      </c>
      <c r="E797" s="4">
        <f>((-42.1956333/(10/9))+-10.5)+-0.4</f>
        <v>-48.876069969999996</v>
      </c>
      <c r="F797" s="4">
        <f>((-0.47256938*(1.3/1.5))*0.6)-0.3</f>
        <v>-0.54573607759999998</v>
      </c>
    </row>
    <row r="798" spans="1:6" x14ac:dyDescent="0.4">
      <c r="A798" s="4">
        <v>696.74030000000005</v>
      </c>
      <c r="B798" s="4">
        <v>1.0505954</v>
      </c>
      <c r="C798" s="4">
        <v>1.0316278000000001</v>
      </c>
      <c r="D798" s="4">
        <v>-29.977709999999998</v>
      </c>
      <c r="E798" s="4">
        <f>((-42.1689195/(10/9))+-10.5)+-0.4</f>
        <v>-48.852027549999995</v>
      </c>
      <c r="F798" s="4">
        <f>((-0.47271013*(1.3/1.5))*0.6)-0.3</f>
        <v>-0.54580926760000004</v>
      </c>
    </row>
    <row r="799" spans="1:6" x14ac:dyDescent="0.4">
      <c r="A799" s="4">
        <v>697.61522500000001</v>
      </c>
      <c r="B799" s="4">
        <v>1.0505339</v>
      </c>
      <c r="C799" s="4">
        <v>1.0317242</v>
      </c>
      <c r="D799" s="4">
        <v>-29.977096</v>
      </c>
      <c r="E799" s="4">
        <f>((-42.2207442/(10/9))+-10.5)+-0.4</f>
        <v>-48.898669779999999</v>
      </c>
      <c r="F799" s="4">
        <f>((-0.47287536*(1.3/1.5))*0.6)-0.3</f>
        <v>-0.54589518719999996</v>
      </c>
    </row>
    <row r="800" spans="1:6" x14ac:dyDescent="0.4">
      <c r="A800" s="4">
        <v>698.49014999999997</v>
      </c>
      <c r="B800" s="4">
        <v>1.0506179</v>
      </c>
      <c r="C800" s="4">
        <v>1.0315194000000001</v>
      </c>
      <c r="D800" s="4">
        <v>-29.975984</v>
      </c>
      <c r="E800" s="4">
        <f>((-42.0985692/(10/9))+-10.5)+-0.4</f>
        <v>-48.788712279999999</v>
      </c>
      <c r="F800" s="4">
        <f>((-0.47302344*(1.3/1.5))*0.6)-0.3</f>
        <v>-0.54597218879999998</v>
      </c>
    </row>
    <row r="801" spans="1:6" x14ac:dyDescent="0.4">
      <c r="A801" s="4">
        <v>699.36507499999993</v>
      </c>
      <c r="B801" s="4">
        <v>1.050549</v>
      </c>
      <c r="C801" s="4">
        <v>1.0313821000000001</v>
      </c>
      <c r="D801" s="4">
        <v>-29.975154</v>
      </c>
      <c r="E801" s="4">
        <f>((-42.2185023/(10/9))+-10.5)+-0.4</f>
        <v>-48.896652069999995</v>
      </c>
      <c r="F801" s="4">
        <f>((-0.47315103*(1.3/1.5))*0.6)-0.3</f>
        <v>-0.54603853559999993</v>
      </c>
    </row>
    <row r="802" spans="1:6" x14ac:dyDescent="0.4">
      <c r="A802" s="4">
        <v>700.24</v>
      </c>
      <c r="B802" s="4">
        <v>1.0504948999999999</v>
      </c>
      <c r="C802" s="4">
        <v>1.0314635999999999</v>
      </c>
      <c r="D802" s="4">
        <v>-29.974221</v>
      </c>
      <c r="E802" s="4">
        <f>((-42.0960357/(10/9))+-10.5)+-0.4</f>
        <v>-48.786432130000001</v>
      </c>
      <c r="F802" s="4">
        <f>((-0.47330302*(1.3/1.5))*0.6)-0.3</f>
        <v>-0.54611757039999997</v>
      </c>
    </row>
    <row r="803" spans="1:6" x14ac:dyDescent="0.4">
      <c r="A803" s="4">
        <v>701.11492500000008</v>
      </c>
      <c r="B803" s="4">
        <v>1.0504528</v>
      </c>
      <c r="C803" s="4">
        <v>1.0316107999999999</v>
      </c>
      <c r="D803" s="4">
        <v>-29.973437999999998</v>
      </c>
      <c r="E803" s="4">
        <f>((-42.1617474/(10/9))+-10.5)+-0.4</f>
        <v>-48.845572660000002</v>
      </c>
      <c r="F803" s="4">
        <f>((-0.47342306*(1.3/1.5))*0.6)-0.3</f>
        <v>-0.54617999120000005</v>
      </c>
    </row>
    <row r="804" spans="1:6" x14ac:dyDescent="0.4">
      <c r="A804" s="4">
        <v>701.98984999999993</v>
      </c>
      <c r="B804" s="4">
        <v>1.0504144</v>
      </c>
      <c r="C804" s="4">
        <v>1.0315071</v>
      </c>
      <c r="D804" s="4">
        <v>-29.972411000000001</v>
      </c>
      <c r="E804" s="4">
        <f>((-42.1665507/(10/9))+-10.5)+-0.4</f>
        <v>-48.849895629999999</v>
      </c>
      <c r="F804" s="4">
        <f>((-0.47360477*(1.3/1.5))*0.6)-0.3</f>
        <v>-0.54627448040000004</v>
      </c>
    </row>
    <row r="805" spans="1:6" x14ac:dyDescent="0.4">
      <c r="A805" s="4">
        <v>702.86477500000001</v>
      </c>
      <c r="B805" s="4">
        <v>1.0504004</v>
      </c>
      <c r="C805" s="4">
        <v>1.0316392999999999</v>
      </c>
      <c r="D805" s="4">
        <v>-29.971661999999998</v>
      </c>
      <c r="E805" s="4">
        <f>((-42.1211187/(10/9))+-10.5)+-0.4</f>
        <v>-48.809006829999994</v>
      </c>
      <c r="F805" s="4">
        <f>((-0.47372457*(1.3/1.5))*0.6)-0.3</f>
        <v>-0.5463367764</v>
      </c>
    </row>
    <row r="806" spans="1:6" x14ac:dyDescent="0.4">
      <c r="A806" s="4">
        <v>703.73969999999997</v>
      </c>
      <c r="B806" s="4">
        <v>1.0504305</v>
      </c>
      <c r="C806" s="4">
        <v>1.0316681000000001</v>
      </c>
      <c r="D806" s="4">
        <v>-29.970631999999998</v>
      </c>
      <c r="E806" s="4">
        <f>((-41.9876001/(10/9))+-10.5)+-0.4</f>
        <v>-48.688840089999999</v>
      </c>
      <c r="F806" s="4">
        <f>((-0.47384948*(1.3/1.5))*0.6)-0.3</f>
        <v>-0.5464017296</v>
      </c>
    </row>
    <row r="807" spans="1:6" x14ac:dyDescent="0.4">
      <c r="A807" s="4">
        <v>704.61462500000005</v>
      </c>
      <c r="B807" s="4">
        <v>1.0503799</v>
      </c>
      <c r="C807" s="4">
        <v>1.0316293000000001</v>
      </c>
      <c r="D807" s="4">
        <v>-29.969579</v>
      </c>
      <c r="E807" s="4">
        <f>((-42.1946208/(10/9))+-10.5)+-0.4</f>
        <v>-48.875158720000002</v>
      </c>
      <c r="F807" s="4">
        <f>((-0.47397017*(1.3/1.5))*0.6)-0.3</f>
        <v>-0.54646448840000006</v>
      </c>
    </row>
    <row r="808" spans="1:6" x14ac:dyDescent="0.4">
      <c r="A808" s="4">
        <v>705.48955000000001</v>
      </c>
      <c r="B808" s="4">
        <v>1.0501977</v>
      </c>
      <c r="C808" s="4">
        <v>1.0315704000000001</v>
      </c>
      <c r="D808" s="4">
        <v>-29.968630999999998</v>
      </c>
      <c r="E808" s="4">
        <f>((-42.294816/(10/9))+-10.5)+-0.4</f>
        <v>-48.965334399999996</v>
      </c>
      <c r="F808" s="4">
        <f>((-0.47410014*(1.3/1.5))*0.6)-0.3</f>
        <v>-0.54653207280000005</v>
      </c>
    </row>
    <row r="809" spans="1:6" x14ac:dyDescent="0.4">
      <c r="A809" s="4">
        <v>706.36447499999997</v>
      </c>
      <c r="B809" s="4">
        <v>1.0501431999999999</v>
      </c>
      <c r="C809" s="4">
        <v>1.0315862</v>
      </c>
      <c r="D809" s="4">
        <v>-29.967476999999999</v>
      </c>
      <c r="E809" s="4">
        <f>((-42.0095664/(10/9))+-10.5)+-0.4</f>
        <v>-48.708609759999995</v>
      </c>
      <c r="F809" s="4">
        <f>((-0.47427997*(1.3/1.5))*0.6)-0.3</f>
        <v>-0.54662558439999998</v>
      </c>
    </row>
    <row r="810" spans="1:6" x14ac:dyDescent="0.4">
      <c r="A810" s="4">
        <v>707.23940000000005</v>
      </c>
      <c r="B810" s="4">
        <v>1.0500628000000001</v>
      </c>
      <c r="C810" s="4">
        <v>1.0314931000000001</v>
      </c>
      <c r="D810" s="4">
        <v>-29.966431999999998</v>
      </c>
      <c r="E810" s="4">
        <f>((-41.9581881/(10/9))+-10.5)+-0.4</f>
        <v>-48.662369290000001</v>
      </c>
      <c r="F810" s="4">
        <f>((-0.47449481*(1.3/1.5))*0.6)-0.3</f>
        <v>-0.54673730119999997</v>
      </c>
    </row>
    <row r="811" spans="1:6" x14ac:dyDescent="0.4">
      <c r="A811" s="4">
        <v>708.11432500000001</v>
      </c>
      <c r="B811" s="4">
        <v>1.0501857000000001</v>
      </c>
      <c r="C811" s="4">
        <v>1.03162</v>
      </c>
      <c r="D811" s="4">
        <v>-29.965888</v>
      </c>
      <c r="E811" s="4">
        <f>((-42.1186743/(10/9))+-10.5)+-0.4</f>
        <v>-48.806806869999996</v>
      </c>
      <c r="F811" s="4">
        <f>((-0.47468257*(1.3/1.5))*0.6)-0.3</f>
        <v>-0.54683493640000003</v>
      </c>
    </row>
    <row r="812" spans="1:6" x14ac:dyDescent="0.4">
      <c r="A812" s="4">
        <v>708.98924999999997</v>
      </c>
      <c r="B812" s="4">
        <v>1.050244</v>
      </c>
      <c r="C812" s="4">
        <v>1.0316775</v>
      </c>
      <c r="D812" s="4">
        <v>-29.964922999999999</v>
      </c>
      <c r="E812" s="4">
        <f>((-41.9038092/(10/9))+-10.5)+-0.4</f>
        <v>-48.613428279999994</v>
      </c>
      <c r="F812" s="4">
        <f>((-0.47474447*(1.3/1.5))*0.6)-0.3</f>
        <v>-0.54686712439999996</v>
      </c>
    </row>
    <row r="813" spans="1:6" x14ac:dyDescent="0.4">
      <c r="A813" s="4">
        <v>709.86417500000005</v>
      </c>
      <c r="B813" s="4">
        <v>1.0500665</v>
      </c>
      <c r="C813" s="4">
        <v>1.0315654999999999</v>
      </c>
      <c r="D813" s="4">
        <v>-29.964171999999998</v>
      </c>
      <c r="E813" s="4">
        <f>((-42.0651189/(10/9))+-10.5)+-0.4</f>
        <v>-48.758607009999999</v>
      </c>
      <c r="F813" s="4">
        <f>((-0.47490674*(1.3/1.5))*0.6)-0.3</f>
        <v>-0.54695150479999999</v>
      </c>
    </row>
    <row r="814" spans="1:6" x14ac:dyDescent="0.4">
      <c r="A814" s="4">
        <v>710.73910000000001</v>
      </c>
      <c r="B814" s="4">
        <v>1.0501775</v>
      </c>
      <c r="C814" s="4">
        <v>1.0316293000000001</v>
      </c>
      <c r="D814" s="4">
        <v>-29.963127999999998</v>
      </c>
      <c r="E814" s="4">
        <f>((-42.0790824/(10/9))+-10.5)+-0.4</f>
        <v>-48.771174159999994</v>
      </c>
      <c r="F814" s="4">
        <f>((-0.4750872*(1.3/1.5))*0.6)-0.3</f>
        <v>-0.54704534399999993</v>
      </c>
    </row>
    <row r="815" spans="1:6" x14ac:dyDescent="0.4">
      <c r="A815" s="4">
        <v>711.61402499999997</v>
      </c>
      <c r="B815" s="4">
        <v>1.0501218999999999</v>
      </c>
      <c r="C815" s="4">
        <v>1.0316571999999999</v>
      </c>
      <c r="D815" s="4">
        <v>-29.962454999999999</v>
      </c>
      <c r="E815" s="4">
        <f>((-42.0837579/(10/9))+-10.5)+-0.4</f>
        <v>-48.775382109999995</v>
      </c>
      <c r="F815" s="4">
        <f>((-0.47525856*(1.3/1.5))*0.6)-0.3</f>
        <v>-0.54713445120000004</v>
      </c>
    </row>
    <row r="816" spans="1:6" x14ac:dyDescent="0.4">
      <c r="A816" s="4">
        <v>712.48894999999993</v>
      </c>
      <c r="B816" s="4">
        <v>1.0500811000000001</v>
      </c>
      <c r="C816" s="4">
        <v>1.0316627</v>
      </c>
      <c r="D816" s="4">
        <v>-29.961731999999998</v>
      </c>
      <c r="E816" s="4">
        <f>((-42.0042204/(10/9))+-10.5)+-0.4</f>
        <v>-48.70379836</v>
      </c>
      <c r="F816" s="4">
        <f>((-0.47541481*(1.3/1.5))*0.6)-0.3</f>
        <v>-0.54721570119999996</v>
      </c>
    </row>
    <row r="817" spans="1:6" x14ac:dyDescent="0.4">
      <c r="A817" s="4">
        <v>713.36387500000001</v>
      </c>
      <c r="B817" s="4">
        <v>1.0500742000000001</v>
      </c>
      <c r="C817" s="4">
        <v>1.0317693999999999</v>
      </c>
      <c r="D817" s="4">
        <v>-29.961175000000001</v>
      </c>
      <c r="E817" s="4">
        <f>((-42.0960078/(10/9))+-10.5)+-0.4</f>
        <v>-48.786407019999999</v>
      </c>
      <c r="F817" s="4">
        <f>((-0.47555962*(1.3/1.5))*0.6)-0.3</f>
        <v>-0.54729100239999995</v>
      </c>
    </row>
    <row r="818" spans="1:6" x14ac:dyDescent="0.4">
      <c r="A818" s="4">
        <v>714.23880000000008</v>
      </c>
      <c r="B818" s="4">
        <v>1.0501746999999999</v>
      </c>
      <c r="C818" s="4">
        <v>1.0318449000000001</v>
      </c>
      <c r="D818" s="4">
        <v>-29.960189</v>
      </c>
      <c r="E818" s="4">
        <f>((-41.9904702/(10/9))+-10.5)+-0.4</f>
        <v>-48.691423179999994</v>
      </c>
      <c r="F818" s="4">
        <f>((-0.47576246*(1.3/1.5))*0.6)-0.3</f>
        <v>-0.54739647920000001</v>
      </c>
    </row>
    <row r="819" spans="1:6" x14ac:dyDescent="0.4">
      <c r="A819" s="4">
        <v>715.11372499999993</v>
      </c>
      <c r="B819" s="4">
        <v>1.0502001999999999</v>
      </c>
      <c r="C819" s="4">
        <v>1.0317546</v>
      </c>
      <c r="D819" s="4">
        <v>-29.959409000000001</v>
      </c>
      <c r="E819" s="4">
        <f>((-42.0122817/(10/9))+-10.5)+-0.4</f>
        <v>-48.711053530000001</v>
      </c>
      <c r="F819" s="4">
        <f>((-0.47585189*(1.3/1.5))*0.6)-0.3</f>
        <v>-0.54744298280000003</v>
      </c>
    </row>
    <row r="820" spans="1:6" x14ac:dyDescent="0.4">
      <c r="A820" s="4">
        <v>715.98865000000001</v>
      </c>
      <c r="B820" s="4">
        <v>1.0499334</v>
      </c>
      <c r="C820" s="4">
        <v>1.0316327000000001</v>
      </c>
      <c r="D820" s="4">
        <v>-29.958568</v>
      </c>
      <c r="E820" s="4">
        <f>((-41.893362/(10/9))+-10.5)+-0.4</f>
        <v>-48.604025800000002</v>
      </c>
      <c r="F820" s="4">
        <f>((-0.47599107*(1.3/1.5))*0.6)-0.3</f>
        <v>-0.54751535640000004</v>
      </c>
    </row>
    <row r="821" spans="1:6" x14ac:dyDescent="0.4">
      <c r="A821" s="4">
        <v>716.86357499999997</v>
      </c>
      <c r="B821" s="4">
        <v>1.0499183999999999</v>
      </c>
      <c r="C821" s="4">
        <v>1.0315611</v>
      </c>
      <c r="D821" s="4">
        <v>-29.957729</v>
      </c>
      <c r="E821" s="4">
        <f>((-41.874894/(10/9))+-10.5)+-0.4</f>
        <v>-48.587404599999992</v>
      </c>
      <c r="F821" s="4">
        <f>((-0.47611555*(1.3/1.5))*0.6)-0.3</f>
        <v>-0.54758008599999997</v>
      </c>
    </row>
    <row r="822" spans="1:6" x14ac:dyDescent="0.4">
      <c r="A822" s="4">
        <v>717.73850000000004</v>
      </c>
      <c r="B822" s="4">
        <v>1.0499303</v>
      </c>
      <c r="C822" s="4">
        <v>1.0318925000000001</v>
      </c>
      <c r="D822" s="4">
        <v>-29.957073999999999</v>
      </c>
      <c r="E822" s="4">
        <f>((-42.0469641/(10/9))+-10.5)+-0.4</f>
        <v>-48.742267689999991</v>
      </c>
      <c r="F822" s="4">
        <f>((-0.4762961*(1.3/1.5))*0.6)-0.3</f>
        <v>-0.54767397200000001</v>
      </c>
    </row>
    <row r="823" spans="1:6" x14ac:dyDescent="0.4">
      <c r="A823" s="4">
        <v>718.61342500000001</v>
      </c>
      <c r="B823" s="4">
        <v>1.0500465999999999</v>
      </c>
      <c r="C823" s="4">
        <v>1.0318442999999999</v>
      </c>
      <c r="D823" s="4">
        <v>-29.956116999999999</v>
      </c>
      <c r="E823" s="4">
        <f>((-41.9900067/(10/9))+-10.5)+-0.4</f>
        <v>-48.691006029999997</v>
      </c>
      <c r="F823" s="4">
        <f>((-0.47646239*(1.3/1.5))*0.6)-0.3</f>
        <v>-0.54776044280000002</v>
      </c>
    </row>
    <row r="824" spans="1:6" x14ac:dyDescent="0.4">
      <c r="A824" s="4">
        <v>719.48834999999997</v>
      </c>
      <c r="B824" s="4">
        <v>1.049968</v>
      </c>
      <c r="C824" s="4">
        <v>1.0317801</v>
      </c>
      <c r="D824" s="4">
        <v>-29.955023999999998</v>
      </c>
      <c r="E824" s="4">
        <f>((-41.9320746/(10/9))+-10.5)+-0.4</f>
        <v>-48.638867139999995</v>
      </c>
      <c r="F824" s="4">
        <f>((-0.47662848*(1.3/1.5))*0.6)-0.3</f>
        <v>-0.54784680959999998</v>
      </c>
    </row>
    <row r="825" spans="1:6" x14ac:dyDescent="0.4">
      <c r="A825" s="4">
        <v>720.36327500000004</v>
      </c>
      <c r="B825" s="4">
        <v>1.0499468000000001</v>
      </c>
      <c r="C825" s="4">
        <v>1.0317502000000001</v>
      </c>
      <c r="D825" s="4">
        <v>-29.953851</v>
      </c>
      <c r="E825" s="4">
        <f>((-41.9804658/(10/9))+-10.5)+-0.4</f>
        <v>-48.682419219999993</v>
      </c>
      <c r="F825" s="4">
        <f>((-0.47682723*(1.3/1.5))*0.6)-0.3</f>
        <v>-0.54795015960000004</v>
      </c>
    </row>
    <row r="826" spans="1:6" x14ac:dyDescent="0.4">
      <c r="A826" s="4">
        <v>721.23820000000001</v>
      </c>
      <c r="B826" s="4">
        <v>1.0498468999999999</v>
      </c>
      <c r="C826" s="4">
        <v>1.0316628999999999</v>
      </c>
      <c r="D826" s="4">
        <v>-29.952583999999998</v>
      </c>
      <c r="E826" s="4">
        <f>((-41.8499037/(10/9))+-10.5)+-0.4</f>
        <v>-48.564913329999996</v>
      </c>
      <c r="F826" s="4">
        <f>((-0.47687748*(1.3/1.5))*0.6)-0.3</f>
        <v>-0.5479762896</v>
      </c>
    </row>
    <row r="827" spans="1:6" x14ac:dyDescent="0.4">
      <c r="A827" s="4">
        <v>722.11312499999997</v>
      </c>
      <c r="B827" s="4">
        <v>1.0497919</v>
      </c>
      <c r="C827" s="4">
        <v>1.0318136</v>
      </c>
      <c r="D827" s="4">
        <v>-29.951308000000001</v>
      </c>
      <c r="E827" s="4">
        <f>((-41.8422753/(10/9))+-10.5)+-0.4</f>
        <v>-48.558047769999995</v>
      </c>
      <c r="F827" s="4">
        <f>((-0.47707757*(1.3/1.5))*0.6)-0.3</f>
        <v>-0.54808033639999998</v>
      </c>
    </row>
    <row r="828" spans="1:6" x14ac:dyDescent="0.4">
      <c r="A828" s="4">
        <v>722.98805000000004</v>
      </c>
      <c r="B828" s="4">
        <v>1.0498139</v>
      </c>
      <c r="C828" s="4">
        <v>1.0318700999999999</v>
      </c>
      <c r="D828" s="4">
        <v>-29.950133999999998</v>
      </c>
      <c r="E828" s="4">
        <f>((-41.98977/(10/9))+-10.5)+-0.4</f>
        <v>-48.690792999999999</v>
      </c>
      <c r="F828" s="4">
        <f>((-0.47717735*(1.3/1.5))*0.6)-0.3</f>
        <v>-0.548132222</v>
      </c>
    </row>
    <row r="829" spans="1:6" x14ac:dyDescent="0.4">
      <c r="A829" s="4">
        <v>723.86297500000001</v>
      </c>
      <c r="B829" s="4">
        <v>1.0497224000000001</v>
      </c>
      <c r="C829" s="4">
        <v>1.0318814999999999</v>
      </c>
      <c r="D829" s="4">
        <v>-29.949024999999999</v>
      </c>
      <c r="E829" s="4">
        <f>((-41.8733973/(10/9))+-10.5)+-0.4</f>
        <v>-48.586057569999994</v>
      </c>
      <c r="F829" s="4">
        <f>((-0.47729793*(1.3/1.5))*0.6)-0.3</f>
        <v>-0.54819492359999999</v>
      </c>
    </row>
    <row r="830" spans="1:6" x14ac:dyDescent="0.4">
      <c r="A830" s="4">
        <v>724.73789999999997</v>
      </c>
      <c r="B830" s="4">
        <v>1.0498601999999999</v>
      </c>
      <c r="C830" s="4">
        <v>1.0318362000000001</v>
      </c>
      <c r="D830" s="4">
        <v>-29.947755000000001</v>
      </c>
      <c r="E830" s="4">
        <f>((-41.879691/(10/9))+-10.5)+-0.4</f>
        <v>-48.591721899999996</v>
      </c>
      <c r="F830" s="4">
        <f>((-0.47746298*(1.3/1.5))*0.6)-0.3</f>
        <v>-0.54828074959999995</v>
      </c>
    </row>
    <row r="831" spans="1:6" x14ac:dyDescent="0.4">
      <c r="A831" s="4">
        <v>725.61282499999993</v>
      </c>
      <c r="B831" s="4">
        <v>1.0496460999999999</v>
      </c>
      <c r="C831" s="4">
        <v>1.0319217000000001</v>
      </c>
      <c r="D831" s="4">
        <v>-29.946581999999999</v>
      </c>
      <c r="E831" s="4">
        <f>((-41.9238243/(10/9))+-10.5)+-0.4</f>
        <v>-48.631441869999996</v>
      </c>
      <c r="F831" s="4">
        <f>((-0.47763598*(1.3/1.5))*0.6)-0.3</f>
        <v>-0.54837070960000001</v>
      </c>
    </row>
    <row r="832" spans="1:6" x14ac:dyDescent="0.4">
      <c r="A832" s="4">
        <v>726.48775000000001</v>
      </c>
      <c r="B832" s="4">
        <v>1.0494962000000001</v>
      </c>
      <c r="C832" s="4">
        <v>1.0319037</v>
      </c>
      <c r="D832" s="4">
        <v>-29.945143999999999</v>
      </c>
      <c r="E832" s="4">
        <f>((-41.7737925/(10/9))+-10.5)+-0.4</f>
        <v>-48.496413249999996</v>
      </c>
      <c r="F832" s="4">
        <f>((-0.4778021*(1.3/1.5))*0.6)-0.3</f>
        <v>-0.54845709200000003</v>
      </c>
    </row>
    <row r="833" spans="1:6" x14ac:dyDescent="0.4">
      <c r="A833" s="4">
        <v>727.36267500000008</v>
      </c>
      <c r="B833" s="4">
        <v>1.0495375</v>
      </c>
      <c r="C833" s="4">
        <v>1.0317924000000001</v>
      </c>
      <c r="D833" s="4">
        <v>-29.943415999999999</v>
      </c>
      <c r="E833" s="4">
        <f>((-41.7987315/(10/9))+-10.5)+-0.4</f>
        <v>-48.518858350000002</v>
      </c>
      <c r="F833" s="4">
        <f>((-0.47794595*(1.3/1.5))*0.6)-0.3</f>
        <v>-0.54853189400000002</v>
      </c>
    </row>
    <row r="834" spans="1:6" x14ac:dyDescent="0.4">
      <c r="A834" s="4">
        <v>728.23759999999993</v>
      </c>
      <c r="B834" s="4">
        <v>1.0495334999999999</v>
      </c>
      <c r="C834" s="4">
        <v>1.0319567000000001</v>
      </c>
      <c r="D834" s="4">
        <v>-29.942111000000001</v>
      </c>
      <c r="E834" s="4">
        <f>((-41.8386222/(10/9))+-10.5)+-0.4</f>
        <v>-48.55475998</v>
      </c>
      <c r="F834" s="4">
        <f>((-0.47815451*(1.3/1.5))*0.6)-0.3</f>
        <v>-0.54864034519999993</v>
      </c>
    </row>
    <row r="835" spans="1:6" x14ac:dyDescent="0.4">
      <c r="A835" s="4">
        <v>729.11252500000001</v>
      </c>
      <c r="B835" s="4">
        <v>1.0495394</v>
      </c>
      <c r="C835" s="4">
        <v>1.0319798</v>
      </c>
      <c r="D835" s="4">
        <v>-29.940352999999998</v>
      </c>
      <c r="E835" s="4">
        <f>((-41.774445/(10/9))+-10.5)+-0.4</f>
        <v>-48.497000499999999</v>
      </c>
      <c r="F835" s="4">
        <f>((-0.47826058*(1.3/1.5))*0.6)-0.3</f>
        <v>-0.54869550159999991</v>
      </c>
    </row>
    <row r="836" spans="1:6" x14ac:dyDescent="0.4">
      <c r="A836" s="4">
        <v>729.98744999999997</v>
      </c>
      <c r="B836" s="4">
        <v>1.0496854</v>
      </c>
      <c r="C836" s="4">
        <v>1.0319794</v>
      </c>
      <c r="D836" s="4">
        <v>-29.938929999999999</v>
      </c>
      <c r="E836" s="4">
        <f>((-41.8659579/(10/9))+-10.5)+-0.4</f>
        <v>-48.579362109999998</v>
      </c>
      <c r="F836" s="4">
        <f>((-0.47836107*(1.3/1.5))*0.6)-0.3</f>
        <v>-0.54874775639999995</v>
      </c>
    </row>
    <row r="837" spans="1:6" x14ac:dyDescent="0.4">
      <c r="A837" s="4">
        <v>730.86237500000004</v>
      </c>
      <c r="B837" s="4">
        <v>1.0496485</v>
      </c>
      <c r="C837" s="4">
        <v>1.0321689000000001</v>
      </c>
      <c r="D837" s="4">
        <v>-29.937745</v>
      </c>
      <c r="E837" s="4">
        <f>((-41.7619098/(10/9))+-10.5)+-0.4</f>
        <v>-48.485718819999995</v>
      </c>
      <c r="F837" s="4">
        <f>((-0.47851872*(1.3/1.5))*0.6)-0.3</f>
        <v>-0.54882973439999994</v>
      </c>
    </row>
    <row r="838" spans="1:6" x14ac:dyDescent="0.4">
      <c r="A838" s="4">
        <v>731.7373</v>
      </c>
      <c r="B838" s="4">
        <v>1.0495254000000001</v>
      </c>
      <c r="C838" s="4">
        <v>1.0321311</v>
      </c>
      <c r="D838" s="4">
        <v>-29.936021</v>
      </c>
      <c r="E838" s="4">
        <f>((-41.8645332/(10/9))+-10.5)+-0.4</f>
        <v>-48.578079879999997</v>
      </c>
      <c r="F838" s="4">
        <f>((-0.4787671*(1.3/1.5))*0.6)-0.3</f>
        <v>-0.54895889199999992</v>
      </c>
    </row>
    <row r="839" spans="1:6" x14ac:dyDescent="0.4">
      <c r="A839" s="4">
        <v>732.61222499999997</v>
      </c>
      <c r="B839" s="4">
        <v>1.0495410000000001</v>
      </c>
      <c r="C839" s="4">
        <v>1.0322248000000001</v>
      </c>
      <c r="D839" s="4">
        <v>-29.934376999999998</v>
      </c>
      <c r="E839" s="4">
        <f>((-41.6994255/(10/9))+-10.5)+-0.4</f>
        <v>-48.429482949999993</v>
      </c>
      <c r="F839" s="4">
        <f>((-0.47893858*(1.3/1.5))*0.6)-0.3</f>
        <v>-0.54904806159999997</v>
      </c>
    </row>
    <row r="840" spans="1:6" x14ac:dyDescent="0.4">
      <c r="A840" s="4">
        <v>733.48715000000004</v>
      </c>
      <c r="B840" s="4">
        <v>1.0494523</v>
      </c>
      <c r="C840" s="4">
        <v>1.0321264000000001</v>
      </c>
      <c r="D840" s="4">
        <v>-29.932119</v>
      </c>
      <c r="E840" s="4">
        <f>((-41.8755294/(10/9))+-10.5)+-0.4</f>
        <v>-48.587976459999993</v>
      </c>
      <c r="F840" s="4">
        <f>((-0.4790487*(1.3/1.5))*0.6)-0.3</f>
        <v>-0.54910532400000001</v>
      </c>
    </row>
    <row r="841" spans="1:6" x14ac:dyDescent="0.4">
      <c r="A841" s="4">
        <v>734.362075</v>
      </c>
      <c r="B841" s="4">
        <v>1.0492596999999999</v>
      </c>
      <c r="C841" s="4">
        <v>1.0320271999999999</v>
      </c>
      <c r="D841" s="4">
        <v>-29.930308999999998</v>
      </c>
      <c r="E841" s="4">
        <f>((-41.7581784/(10/9))+-10.5)+-0.4</f>
        <v>-48.482360559999996</v>
      </c>
      <c r="F841" s="4">
        <f>((-0.47919336*(1.3/1.5))*0.6)-0.3</f>
        <v>-0.54918054719999998</v>
      </c>
    </row>
    <row r="842" spans="1:6" x14ac:dyDescent="0.4">
      <c r="A842" s="4">
        <v>735.23699999999997</v>
      </c>
      <c r="B842" s="4">
        <v>1.0493245</v>
      </c>
      <c r="C842" s="4">
        <v>1.0322311</v>
      </c>
      <c r="D842" s="4">
        <v>-29.928632</v>
      </c>
      <c r="E842" s="4">
        <f>((-41.7882501/(10/9))+-10.5)+-0.4</f>
        <v>-48.509425089999993</v>
      </c>
      <c r="F842" s="4">
        <f>((-0.47936469*(1.3/1.5))*0.6)-0.3</f>
        <v>-0.54926963880000002</v>
      </c>
    </row>
    <row r="843" spans="1:6" x14ac:dyDescent="0.4">
      <c r="A843" s="4">
        <v>736.11192500000004</v>
      </c>
      <c r="B843" s="4">
        <v>1.0493475999999999</v>
      </c>
      <c r="C843" s="4">
        <v>1.0322642</v>
      </c>
      <c r="D843" s="4">
        <v>-29.926807</v>
      </c>
      <c r="E843" s="4">
        <f>((-41.8916277/(10/9))+-10.5)+-0.4</f>
        <v>-48.602464929999996</v>
      </c>
      <c r="F843" s="4">
        <f>((-0.47954544*(1.3/1.5))*0.6)-0.3</f>
        <v>-0.5493636288</v>
      </c>
    </row>
    <row r="844" spans="1:6" x14ac:dyDescent="0.4">
      <c r="A844" s="4">
        <v>736.98685</v>
      </c>
      <c r="B844" s="4">
        <v>1.0491626000000001</v>
      </c>
      <c r="C844" s="4">
        <v>1.0322252999999999</v>
      </c>
      <c r="D844" s="4">
        <v>-29.924699</v>
      </c>
      <c r="E844" s="4">
        <f>((-41.7814182/(10/9))+-10.5)+-0.4</f>
        <v>-48.503276379999996</v>
      </c>
      <c r="F844" s="4">
        <f>((-0.47968417*(1.3/1.5))*0.6)-0.3</f>
        <v>-0.54943576839999997</v>
      </c>
    </row>
    <row r="845" spans="1:6" x14ac:dyDescent="0.4">
      <c r="A845" s="4">
        <v>737.86177500000008</v>
      </c>
      <c r="B845" s="4">
        <v>1.0492315999999999</v>
      </c>
      <c r="C845" s="4">
        <v>1.0322068</v>
      </c>
      <c r="D845" s="4">
        <v>-29.922564999999999</v>
      </c>
      <c r="E845" s="4">
        <f>((-41.8362399/(10/9))+-10.5)+-0.4</f>
        <v>-48.55261591</v>
      </c>
      <c r="F845" s="4">
        <f>((-0.47991714*(1.3/1.5))*0.6)-0.3</f>
        <v>-0.54955691279999996</v>
      </c>
    </row>
    <row r="846" spans="1:6" x14ac:dyDescent="0.4">
      <c r="A846" s="4">
        <v>738.73669999999993</v>
      </c>
      <c r="B846" s="4">
        <v>1.0491265000000001</v>
      </c>
      <c r="C846" s="4">
        <v>1.0324409000000001</v>
      </c>
      <c r="D846" s="4">
        <v>-29.920881999999999</v>
      </c>
      <c r="E846" s="4">
        <f>((-41.7206979/(10/9))+-10.5)+-0.4</f>
        <v>-48.448628109999994</v>
      </c>
      <c r="F846" s="4">
        <f>((-0.48004746*(1.3/1.5))*0.6)-0.3</f>
        <v>-0.54962467919999991</v>
      </c>
    </row>
    <row r="847" spans="1:6" x14ac:dyDescent="0.4">
      <c r="A847" s="4">
        <v>739.611625</v>
      </c>
      <c r="B847" s="4">
        <v>1.0491664000000001</v>
      </c>
      <c r="C847" s="4">
        <v>1.0323035</v>
      </c>
      <c r="D847" s="4">
        <v>-29.918851</v>
      </c>
      <c r="E847" s="4">
        <f>((-41.6817549/(10/9))+-10.5)+-0.4</f>
        <v>-48.413579409999997</v>
      </c>
      <c r="F847" s="4">
        <f>((-0.48017174*(1.3/1.5))*0.6)-0.3</f>
        <v>-0.5496893048</v>
      </c>
    </row>
    <row r="848" spans="1:6" x14ac:dyDescent="0.4">
      <c r="A848" s="4">
        <v>740.48655000000008</v>
      </c>
      <c r="B848" s="4">
        <v>1.0491033999999999</v>
      </c>
      <c r="C848" s="4">
        <v>1.0323652999999999</v>
      </c>
      <c r="D848" s="4">
        <v>-29.916763</v>
      </c>
      <c r="E848" s="4">
        <f>((-41.641785/(10/9))+-10.5)+-0.4</f>
        <v>-48.377606499999999</v>
      </c>
      <c r="F848" s="4">
        <f>((-0.48022237*(1.3/1.5))*0.6)-0.3</f>
        <v>-0.54971563239999999</v>
      </c>
    </row>
    <row r="849" spans="1:6" x14ac:dyDescent="0.4">
      <c r="A849" s="4">
        <v>741.36147499999993</v>
      </c>
      <c r="B849" s="4">
        <v>1.0491641</v>
      </c>
      <c r="C849" s="4">
        <v>1.0321832</v>
      </c>
      <c r="D849" s="4">
        <v>-29.914877999999998</v>
      </c>
      <c r="E849" s="4">
        <f>((-41.6860326/(10/9))+-10.5)+-0.4</f>
        <v>-48.417429339999991</v>
      </c>
      <c r="F849" s="4">
        <f>((-0.48027888*(1.3/1.5))*0.6)-0.3</f>
        <v>-0.54974501760000005</v>
      </c>
    </row>
    <row r="850" spans="1:6" x14ac:dyDescent="0.4">
      <c r="A850" s="4">
        <v>742.2364</v>
      </c>
      <c r="B850" s="4">
        <v>1.0488835999999999</v>
      </c>
      <c r="C850" s="4">
        <v>1.0323616</v>
      </c>
      <c r="D850" s="4">
        <v>-29.91311</v>
      </c>
      <c r="E850" s="4">
        <f>((-41.7327624/(10/9))+-10.5)+-0.4</f>
        <v>-48.459486159999997</v>
      </c>
      <c r="F850" s="4">
        <f>((-0.48032776*(1.3/1.5))*0.6)-0.3</f>
        <v>-0.54977043520000002</v>
      </c>
    </row>
    <row r="851" spans="1:6" x14ac:dyDescent="0.4">
      <c r="A851" s="4">
        <v>743.11132499999997</v>
      </c>
      <c r="B851" s="4">
        <v>1.0489062</v>
      </c>
      <c r="C851" s="4">
        <v>1.0322003</v>
      </c>
      <c r="D851" s="4">
        <v>-29.910733</v>
      </c>
      <c r="E851" s="4">
        <f>((-41.6442051/(10/9))+-10.5)+-0.4</f>
        <v>-48.37978459</v>
      </c>
      <c r="F851" s="4">
        <f>((-0.48036978*(1.3/1.5))*0.6)-0.3</f>
        <v>-0.54979228560000004</v>
      </c>
    </row>
    <row r="852" spans="1:6" x14ac:dyDescent="0.4">
      <c r="A852" s="4">
        <v>743.98625000000004</v>
      </c>
      <c r="B852" s="4">
        <v>1.0488548</v>
      </c>
      <c r="C852" s="4">
        <v>1.0323323</v>
      </c>
      <c r="D852" s="4">
        <v>-29.908334</v>
      </c>
      <c r="E852" s="4">
        <f>((-41.6530494/(10/9))+-10.5)+-0.4</f>
        <v>-48.38774446</v>
      </c>
      <c r="F852" s="4">
        <f>((-0.48058137*(1.3/1.5))*0.6)-0.3</f>
        <v>-0.54990231239999998</v>
      </c>
    </row>
    <row r="853" spans="1:6" x14ac:dyDescent="0.4">
      <c r="A853" s="4">
        <v>744.861175</v>
      </c>
      <c r="B853" s="4">
        <v>1.0485833</v>
      </c>
      <c r="C853" s="4">
        <v>1.0323064</v>
      </c>
      <c r="D853" s="4">
        <v>-29.905971000000001</v>
      </c>
      <c r="E853" s="4">
        <f>((-41.6245023/(10/9))+-10.5)+-0.4</f>
        <v>-48.362052069999997</v>
      </c>
      <c r="F853" s="4">
        <f>((-0.48082691*(1.3/1.5))*0.6)-0.3</f>
        <v>-0.55002999320000001</v>
      </c>
    </row>
    <row r="854" spans="1:6" x14ac:dyDescent="0.4">
      <c r="A854" s="4">
        <v>745.73609999999996</v>
      </c>
      <c r="B854" s="4">
        <v>1.0486196999999999</v>
      </c>
      <c r="C854" s="4">
        <v>1.0321990999999999</v>
      </c>
      <c r="D854" s="4">
        <v>-29.903710999999998</v>
      </c>
      <c r="E854" s="4">
        <f>((-41.6922534/(10/9))+-10.5)+-0.4</f>
        <v>-48.423028059999993</v>
      </c>
      <c r="F854" s="4">
        <f>((-0.4810608*(1.3/1.5))*0.6)-0.3</f>
        <v>-0.55015161599999995</v>
      </c>
    </row>
    <row r="855" spans="1:6" x14ac:dyDescent="0.4">
      <c r="A855" s="4">
        <v>746.61102500000004</v>
      </c>
      <c r="B855" s="4">
        <v>1.0487451999999999</v>
      </c>
      <c r="C855" s="4">
        <v>1.0324131999999999</v>
      </c>
      <c r="D855" s="4">
        <v>-29.901261999999999</v>
      </c>
      <c r="E855" s="4">
        <f>((-41.6603349/(10/9))+-10.5)+-0.4</f>
        <v>-48.394301409999997</v>
      </c>
      <c r="F855" s="4">
        <f>((-0.48113343*(1.3/1.5))*0.6)-0.3</f>
        <v>-0.55018938360000003</v>
      </c>
    </row>
    <row r="856" spans="1:6" x14ac:dyDescent="0.4">
      <c r="A856" s="4">
        <v>747.48595</v>
      </c>
      <c r="B856" s="4">
        <v>1.0487498</v>
      </c>
      <c r="C856" s="4">
        <v>1.0324981</v>
      </c>
      <c r="D856" s="4">
        <v>-29.899052999999999</v>
      </c>
      <c r="E856" s="4">
        <f>((-41.6646126/(10/9))+-10.5)+-0.4</f>
        <v>-48.398151339999998</v>
      </c>
      <c r="F856" s="4">
        <f>((-0.48122945*(1.3/1.5))*0.6)-0.3</f>
        <v>-0.55023931399999992</v>
      </c>
    </row>
    <row r="857" spans="1:6" x14ac:dyDescent="0.4">
      <c r="A857" s="4">
        <v>748.36087499999996</v>
      </c>
      <c r="B857" s="4">
        <v>1.0485580000000001</v>
      </c>
      <c r="C857" s="4">
        <v>1.0324403</v>
      </c>
      <c r="D857" s="4">
        <v>-29.896221999999998</v>
      </c>
      <c r="E857" s="4">
        <f>((-41.6076111/(10/9))+-10.5)+-0.4</f>
        <v>-48.346849989999996</v>
      </c>
      <c r="F857" s="4">
        <f>((-0.4813683*(1.3/1.5))*0.6)-0.3</f>
        <v>-0.55031151600000006</v>
      </c>
    </row>
    <row r="858" spans="1:6" x14ac:dyDescent="0.4">
      <c r="A858" s="4">
        <v>749.23580000000004</v>
      </c>
      <c r="B858" s="4">
        <v>1.0487458999999999</v>
      </c>
      <c r="C858" s="4">
        <v>1.0325404</v>
      </c>
      <c r="D858" s="4">
        <v>-29.893794</v>
      </c>
      <c r="E858" s="4">
        <f>((-41.6069928/(10/9))+-10.5)+-0.4</f>
        <v>-48.346293519999996</v>
      </c>
      <c r="F858" s="4">
        <f>((-0.48148304*(1.3/1.5))*0.6)-0.3</f>
        <v>-0.55037118080000003</v>
      </c>
    </row>
    <row r="859" spans="1:6" x14ac:dyDescent="0.4">
      <c r="A859" s="4">
        <v>750.110725</v>
      </c>
      <c r="B859" s="4">
        <v>1.0485719</v>
      </c>
      <c r="C859" s="4">
        <v>1.0326099</v>
      </c>
      <c r="D859" s="4">
        <v>-29.891368</v>
      </c>
      <c r="E859" s="4">
        <f>((-41.6487852/(10/9))+-10.5)+-0.4</f>
        <v>-48.383906679999996</v>
      </c>
      <c r="F859" s="4">
        <f>((-0.48166171*(1.3/1.5))*0.6)-0.3</f>
        <v>-0.55046408920000001</v>
      </c>
    </row>
    <row r="860" spans="1:6" x14ac:dyDescent="0.4">
      <c r="A860" s="4">
        <v>750.98565000000008</v>
      </c>
      <c r="B860" s="4">
        <v>1.0485367999999999</v>
      </c>
      <c r="C860" s="4">
        <v>1.0324605</v>
      </c>
      <c r="D860" s="4">
        <v>-29.888856000000001</v>
      </c>
      <c r="E860" s="4">
        <f>((-41.6638809/(10/9))+-10.5)+-0.4</f>
        <v>-48.397492809999996</v>
      </c>
      <c r="F860" s="4">
        <f>((-0.48176327*(1.3/1.5))*0.6)-0.3</f>
        <v>-0.55051690040000001</v>
      </c>
    </row>
    <row r="861" spans="1:6" x14ac:dyDescent="0.4">
      <c r="A861" s="4">
        <v>751.86057499999993</v>
      </c>
      <c r="B861" s="4">
        <v>1.0484568000000001</v>
      </c>
      <c r="C861" s="4">
        <v>1.0325184000000001</v>
      </c>
      <c r="D861" s="4">
        <v>-29.886185999999999</v>
      </c>
      <c r="E861" s="4">
        <f>((-41.6060037/(10/9))+-10.5)+-0.4</f>
        <v>-48.345403329999996</v>
      </c>
      <c r="F861" s="4">
        <f>((-0.4818919*(1.3/1.5))*0.6)-0.3</f>
        <v>-0.55058378799999996</v>
      </c>
    </row>
    <row r="862" spans="1:6" x14ac:dyDescent="0.4">
      <c r="A862" s="4">
        <v>752.7355</v>
      </c>
      <c r="B862" s="4">
        <v>1.0481274</v>
      </c>
      <c r="C862" s="4">
        <v>1.0325504999999999</v>
      </c>
      <c r="D862" s="4">
        <v>-29.883516</v>
      </c>
      <c r="E862" s="4">
        <f>((-41.6769687/(10/9))+-10.5)+-0.4</f>
        <v>-48.409271830000002</v>
      </c>
      <c r="F862" s="4">
        <f>((-0.48209095*(1.3/1.5))*0.6)-0.3</f>
        <v>-0.55068729400000005</v>
      </c>
    </row>
    <row r="863" spans="1:6" x14ac:dyDescent="0.4">
      <c r="A863" s="4">
        <v>753.61042500000008</v>
      </c>
      <c r="B863" s="4">
        <v>1.0481286000000001</v>
      </c>
      <c r="C863" s="4">
        <v>1.0323806</v>
      </c>
      <c r="D863" s="4">
        <v>-29.881046999999999</v>
      </c>
      <c r="E863" s="4">
        <f>((-41.5975311/(10/9))+-10.5)+-0.4</f>
        <v>-48.337777989999992</v>
      </c>
      <c r="F863" s="4">
        <f>((-0.48230812*(1.3/1.5))*0.6)-0.3</f>
        <v>-0.55080022239999993</v>
      </c>
    </row>
    <row r="864" spans="1:6" x14ac:dyDescent="0.4">
      <c r="A864" s="4">
        <v>754.48534999999993</v>
      </c>
      <c r="B864" s="4">
        <v>1.0482271999999999</v>
      </c>
      <c r="C864" s="4">
        <v>1.0324629999999999</v>
      </c>
      <c r="D864" s="4">
        <v>-29.878608</v>
      </c>
      <c r="E864" s="4">
        <f>((-41.5793898/(10/9))+-10.5)+-0.4</f>
        <v>-48.321450819999995</v>
      </c>
      <c r="F864" s="4">
        <f>((-0.48248792*(1.3/1.5))*0.6)-0.3</f>
        <v>-0.55089371840000001</v>
      </c>
    </row>
    <row r="865" spans="1:6" x14ac:dyDescent="0.4">
      <c r="A865" s="4">
        <v>755.360275</v>
      </c>
      <c r="B865" s="4">
        <v>1.0479822999999999</v>
      </c>
      <c r="C865" s="4">
        <v>1.0323302000000001</v>
      </c>
      <c r="D865" s="4">
        <v>-29.876376</v>
      </c>
      <c r="E865" s="4">
        <f>((-41.5647333/(10/9))+-10.5)+-0.4</f>
        <v>-48.308259969999995</v>
      </c>
      <c r="F865" s="4">
        <f>((-0.48266885*(1.3/1.5))*0.6)-0.3</f>
        <v>-0.55098780199999997</v>
      </c>
    </row>
    <row r="866" spans="1:6" x14ac:dyDescent="0.4">
      <c r="A866" s="4">
        <v>756.23519999999996</v>
      </c>
      <c r="B866" s="4">
        <v>1.0481639</v>
      </c>
      <c r="C866" s="4">
        <v>1.0325276999999999</v>
      </c>
      <c r="D866" s="4">
        <v>-29.874088</v>
      </c>
      <c r="E866" s="4">
        <f>((-41.5258659/(10/9))+-10.5)+-0.4</f>
        <v>-48.273279309999999</v>
      </c>
      <c r="F866" s="4">
        <f>((-0.48287997*(1.3/1.5))*0.6)-0.3</f>
        <v>-0.5510975843999999</v>
      </c>
    </row>
    <row r="867" spans="1:6" x14ac:dyDescent="0.4">
      <c r="A867" s="4">
        <v>757.11012500000004</v>
      </c>
      <c r="B867" s="4">
        <v>1.047876</v>
      </c>
      <c r="C867" s="4">
        <v>1.0323097000000001</v>
      </c>
      <c r="D867" s="4">
        <v>-29.871786999999998</v>
      </c>
      <c r="E867" s="4">
        <f>((-41.5167678/(10/9))+-10.5)+-0.4</f>
        <v>-48.265091019999993</v>
      </c>
      <c r="F867" s="4">
        <f>((-0.48312032*(1.3/1.5))*0.6)-0.3</f>
        <v>-0.55122256639999989</v>
      </c>
    </row>
    <row r="868" spans="1:6" x14ac:dyDescent="0.4">
      <c r="A868" s="4">
        <v>757.98505</v>
      </c>
      <c r="B868" s="4">
        <v>1.0478217999999999</v>
      </c>
      <c r="C868" s="4">
        <v>1.0324389</v>
      </c>
      <c r="D868" s="4">
        <v>-29.8691</v>
      </c>
      <c r="E868" s="4">
        <f>((-41.5346958/(10/9))+-10.5)+-0.4</f>
        <v>-48.281226220000001</v>
      </c>
      <c r="F868" s="4">
        <f>((-0.48333111*(1.3/1.5))*0.6)-0.3</f>
        <v>-0.55133217719999994</v>
      </c>
    </row>
    <row r="869" spans="1:6" x14ac:dyDescent="0.4">
      <c r="A869" s="4">
        <v>758.85997499999996</v>
      </c>
      <c r="B869" s="4">
        <v>1.0476464999999999</v>
      </c>
      <c r="C869" s="4">
        <v>1.0323785999999999</v>
      </c>
      <c r="D869" s="4">
        <v>-29.866992</v>
      </c>
      <c r="E869" s="4">
        <f>((-41.6121219/(10/9))+-10.5)+-0.4</f>
        <v>-48.350909709999996</v>
      </c>
      <c r="F869" s="4">
        <f>((-0.48361361*(1.3/1.5))*0.6)-0.3</f>
        <v>-0.5514790772</v>
      </c>
    </row>
    <row r="870" spans="1:6" x14ac:dyDescent="0.4">
      <c r="A870" s="4">
        <v>759.73490000000004</v>
      </c>
      <c r="B870" s="4">
        <v>1.0474851999999999</v>
      </c>
      <c r="C870" s="4">
        <v>1.0322093000000001</v>
      </c>
      <c r="D870" s="4">
        <v>-29.864300999999998</v>
      </c>
      <c r="E870" s="4">
        <f>((-41.4284067/(10/9))+-10.5)+-0.4</f>
        <v>-48.185566029999997</v>
      </c>
      <c r="F870" s="4">
        <f>((-0.4837867*(1.3/1.5))*0.6)-0.3</f>
        <v>-0.55156908400000004</v>
      </c>
    </row>
    <row r="871" spans="1:6" x14ac:dyDescent="0.4">
      <c r="A871" s="4">
        <v>760.609825</v>
      </c>
      <c r="B871" s="4">
        <v>1.047601</v>
      </c>
      <c r="C871" s="4">
        <v>1.0324243</v>
      </c>
      <c r="D871" s="4">
        <v>-29.861777</v>
      </c>
      <c r="E871" s="4">
        <f>((-41.4536922/(10/9))+-10.5)+-0.4</f>
        <v>-48.208322979999998</v>
      </c>
      <c r="F871" s="4">
        <f>((-0.4839389*(1.3/1.5))*0.6)-0.3</f>
        <v>-0.55164822799999991</v>
      </c>
    </row>
    <row r="872" spans="1:6" x14ac:dyDescent="0.4">
      <c r="A872" s="4">
        <v>761.48474999999996</v>
      </c>
      <c r="B872" s="4">
        <v>1.0477536999999999</v>
      </c>
      <c r="C872" s="4">
        <v>1.0327013</v>
      </c>
      <c r="D872" s="4">
        <v>-29.859293999999998</v>
      </c>
      <c r="E872" s="4">
        <f>((-41.4059013/(10/9))+-10.5)+-0.4</f>
        <v>-48.165311169999995</v>
      </c>
      <c r="F872" s="4">
        <f>((-0.4841387*(1.3/1.5))*0.6)-0.3</f>
        <v>-0.55175212399999995</v>
      </c>
    </row>
    <row r="873" spans="1:6" x14ac:dyDescent="0.4">
      <c r="A873" s="4">
        <v>762.35967500000004</v>
      </c>
      <c r="B873" s="4">
        <v>1.0475563000000001</v>
      </c>
      <c r="C873" s="4">
        <v>1.0326451999999999</v>
      </c>
      <c r="D873" s="4">
        <v>-29.856897</v>
      </c>
      <c r="E873" s="4">
        <f>((-41.5747413/(10/9))+-10.5)+-0.4</f>
        <v>-48.317267169999994</v>
      </c>
      <c r="F873" s="4">
        <f>((-0.48436388*(1.3/1.5))*0.6)-0.3</f>
        <v>-0.55186921759999996</v>
      </c>
    </row>
    <row r="874" spans="1:6" x14ac:dyDescent="0.4">
      <c r="A874" s="4">
        <v>763.2346</v>
      </c>
      <c r="B874" s="4">
        <v>1.0476785</v>
      </c>
      <c r="C874" s="4">
        <v>1.0327693</v>
      </c>
      <c r="D874" s="4">
        <v>-29.854613000000001</v>
      </c>
      <c r="E874" s="4">
        <f>((-41.4521541/(10/9))+-10.5)+-0.4</f>
        <v>-48.206938690000001</v>
      </c>
      <c r="F874" s="4">
        <f>((-0.48458672*(1.3/1.5))*0.6)-0.3</f>
        <v>-0.55198509439999999</v>
      </c>
    </row>
    <row r="875" spans="1:6" x14ac:dyDescent="0.4">
      <c r="A875" s="4">
        <v>764.10952500000008</v>
      </c>
      <c r="B875" s="4">
        <v>1.0476532000000001</v>
      </c>
      <c r="C875" s="4">
        <v>1.0329090000000001</v>
      </c>
      <c r="D875" s="4">
        <v>-29.852622</v>
      </c>
      <c r="E875" s="4">
        <f>((-41.5034946/(10/9))+-10.5)+-0.4</f>
        <v>-48.253145140000001</v>
      </c>
      <c r="F875" s="4">
        <f>((-0.48483509*(1.3/1.5))*0.6)-0.3</f>
        <v>-0.55211424679999999</v>
      </c>
    </row>
    <row r="876" spans="1:6" x14ac:dyDescent="0.4">
      <c r="A876" s="4">
        <v>764.98444999999992</v>
      </c>
      <c r="B876" s="4">
        <v>1.0473901000000001</v>
      </c>
      <c r="C876" s="4">
        <v>1.0328989</v>
      </c>
      <c r="D876" s="4">
        <v>-29.850491999999999</v>
      </c>
      <c r="E876" s="4">
        <f>((-41.4111996/(10/9))+-10.5)+-0.4</f>
        <v>-48.170079639999997</v>
      </c>
      <c r="F876" s="4">
        <f>((-0.48510596*(1.3/1.5))*0.6)-0.3</f>
        <v>-0.55225509919999993</v>
      </c>
    </row>
    <row r="877" spans="1:6" x14ac:dyDescent="0.4">
      <c r="A877" s="4">
        <v>765.859375</v>
      </c>
      <c r="B877" s="4">
        <v>1.0474604000000001</v>
      </c>
      <c r="C877" s="4">
        <v>1.0327538999999999</v>
      </c>
      <c r="D877" s="4">
        <v>-29.848219999999998</v>
      </c>
      <c r="E877" s="4">
        <f>((-41.3924643/(10/9))+-10.5)+-0.4</f>
        <v>-48.153217869999999</v>
      </c>
      <c r="F877" s="4">
        <f>((-0.4853282*(1.3/1.5))*0.6)-0.3</f>
        <v>-0.5523706639999999</v>
      </c>
    </row>
    <row r="878" spans="1:6" x14ac:dyDescent="0.4">
      <c r="A878" s="4">
        <v>766.73430000000008</v>
      </c>
      <c r="B878" s="4">
        <v>1.0473998</v>
      </c>
      <c r="C878" s="4">
        <v>1.0328221</v>
      </c>
      <c r="D878" s="4">
        <v>-29.845822999999999</v>
      </c>
      <c r="E878" s="4">
        <f>((-41.4827541/(10/9))+-10.5)+-0.4</f>
        <v>-48.234478689999996</v>
      </c>
      <c r="F878" s="4">
        <f>((-0.48552829*(1.3/1.5))*0.6)-0.3</f>
        <v>-0.55247471079999999</v>
      </c>
    </row>
    <row r="879" spans="1:6" x14ac:dyDescent="0.4">
      <c r="A879" s="4">
        <v>767.60922499999992</v>
      </c>
      <c r="B879" s="4">
        <v>1.0472375</v>
      </c>
      <c r="C879" s="4">
        <v>1.0328575</v>
      </c>
      <c r="D879" s="4">
        <v>-29.843429</v>
      </c>
      <c r="E879" s="4">
        <f>((-41.5177938/(10/9))+-10.5)+-0.4</f>
        <v>-48.266014419999998</v>
      </c>
      <c r="F879" s="4">
        <f>((-0.48578715*(1.3/1.5))*0.6)-0.3</f>
        <v>-0.55260931800000002</v>
      </c>
    </row>
    <row r="880" spans="1:6" x14ac:dyDescent="0.4">
      <c r="A880" s="4">
        <v>768.48415</v>
      </c>
      <c r="B880" s="4">
        <v>1.0471630999999999</v>
      </c>
      <c r="C880" s="4">
        <v>1.0328709</v>
      </c>
      <c r="D880" s="4">
        <v>-29.841324999999998</v>
      </c>
      <c r="E880" s="4">
        <f>((-41.4606105/(10/9))+-10.5)+-0.4</f>
        <v>-48.21454945</v>
      </c>
      <c r="F880" s="4">
        <f>((-0.4860746*(1.3/1.5))*0.6)-0.3</f>
        <v>-0.552758792</v>
      </c>
    </row>
    <row r="881" spans="1:6" x14ac:dyDescent="0.4">
      <c r="A881" s="4">
        <v>769.35907499999996</v>
      </c>
      <c r="B881" s="4">
        <v>1.0469705</v>
      </c>
      <c r="C881" s="4">
        <v>1.0327599000000001</v>
      </c>
      <c r="D881" s="4">
        <v>-29.839615999999999</v>
      </c>
      <c r="E881" s="4">
        <f>((-41.343534/(10/9))+-10.5)+-0.4</f>
        <v>-48.109180599999995</v>
      </c>
      <c r="F881" s="4">
        <f>((-0.48632935*(1.3/1.5))*0.6)-0.3</f>
        <v>-0.55289126199999994</v>
      </c>
    </row>
    <row r="882" spans="1:6" x14ac:dyDescent="0.4">
      <c r="A882" s="4">
        <v>770.23400000000004</v>
      </c>
      <c r="B882" s="4">
        <v>1.0471321</v>
      </c>
      <c r="C882" s="4">
        <v>1.0329505999999999</v>
      </c>
      <c r="D882" s="4">
        <v>-29.837450999999998</v>
      </c>
      <c r="E882" s="4">
        <f>((-41.4626427/(10/9))+-10.5)+-0.4</f>
        <v>-48.216378429999999</v>
      </c>
      <c r="F882" s="4">
        <f>((-0.48653263*(1.3/1.5))*0.6)-0.3</f>
        <v>-0.55299696759999994</v>
      </c>
    </row>
    <row r="883" spans="1:6" x14ac:dyDescent="0.4">
      <c r="A883" s="4">
        <v>771.108925</v>
      </c>
      <c r="B883" s="4">
        <v>1.0467694999999999</v>
      </c>
      <c r="C883" s="4">
        <v>1.0327029000000001</v>
      </c>
      <c r="D883" s="4">
        <v>-29.835577999999998</v>
      </c>
      <c r="E883" s="4">
        <f>((-41.3054145/(10/9))+-10.5)+-0.4</f>
        <v>-48.074873049999994</v>
      </c>
      <c r="F883" s="4">
        <f>((-0.48673669*(1.3/1.5))*0.6)-0.3</f>
        <v>-0.55310307879999998</v>
      </c>
    </row>
    <row r="884" spans="1:6" x14ac:dyDescent="0.4">
      <c r="A884" s="4">
        <v>771.98384999999996</v>
      </c>
      <c r="B884" s="4">
        <v>1.0469349999999999</v>
      </c>
      <c r="C884" s="4">
        <v>1.0331037000000001</v>
      </c>
      <c r="D884" s="4">
        <v>-29.834326999999998</v>
      </c>
      <c r="E884" s="4">
        <f>((-41.2988364/(10/9))+-10.5)+-0.4</f>
        <v>-48.068952759999995</v>
      </c>
      <c r="F884" s="4">
        <f>((-0.4870255*(1.3/1.5))*0.6)-0.3</f>
        <v>-0.55325325999999997</v>
      </c>
    </row>
    <row r="885" spans="1:6" x14ac:dyDescent="0.4">
      <c r="A885" s="4">
        <v>772.85877500000004</v>
      </c>
      <c r="B885" s="4">
        <v>1.0469162000000001</v>
      </c>
      <c r="C885" s="4">
        <v>1.0329524999999999</v>
      </c>
      <c r="D885" s="4">
        <v>-29.832508999999998</v>
      </c>
      <c r="E885" s="4">
        <f>((-41.4136917/(10/9))+-10.5)+-0.4</f>
        <v>-48.172322529999995</v>
      </c>
      <c r="F885" s="4">
        <f>((-0.48724619*(1.3/1.5))*0.6)-0.3</f>
        <v>-0.55336801879999997</v>
      </c>
    </row>
    <row r="886" spans="1:6" x14ac:dyDescent="0.4">
      <c r="A886" s="4">
        <v>773.7337</v>
      </c>
      <c r="B886" s="4">
        <v>1.0467819</v>
      </c>
      <c r="C886" s="4">
        <v>1.0329037999999999</v>
      </c>
      <c r="D886" s="4">
        <v>-29.830925999999998</v>
      </c>
      <c r="E886" s="4">
        <f>((-41.2686/(10/9))+-10.5)+-0.4</f>
        <v>-48.041739999999997</v>
      </c>
      <c r="F886" s="4">
        <f>((-0.48747894*(1.3/1.5))*0.6)-0.3</f>
        <v>-0.55348904879999994</v>
      </c>
    </row>
    <row r="887" spans="1:6" x14ac:dyDescent="0.4">
      <c r="A887" s="4">
        <v>774.60862499999996</v>
      </c>
      <c r="B887" s="4">
        <v>1.0466584000000001</v>
      </c>
      <c r="C887" s="4">
        <v>1.0330831</v>
      </c>
      <c r="D887" s="4">
        <v>-29.829221</v>
      </c>
      <c r="E887" s="4">
        <f>((-41.2716897/(10/9))+-10.5)+-0.4</f>
        <v>-48.044520730000002</v>
      </c>
      <c r="F887" s="4">
        <f>((-0.48777455*(1.3/1.5))*0.6)-0.3</f>
        <v>-0.55364276599999995</v>
      </c>
    </row>
    <row r="888" spans="1:6" x14ac:dyDescent="0.4">
      <c r="A888" s="4">
        <v>775.48355000000004</v>
      </c>
      <c r="B888" s="4">
        <v>1.0465595000000001</v>
      </c>
      <c r="C888" s="4">
        <v>1.0330516999999999</v>
      </c>
      <c r="D888" s="4">
        <v>-29.827410999999998</v>
      </c>
      <c r="E888" s="4">
        <f>((-41.3648262/(10/9))+-10.5)+-0.4</f>
        <v>-48.128343579999999</v>
      </c>
      <c r="F888" s="4">
        <f>((-0.48813558*(1.3/1.5))*0.6)-0.3</f>
        <v>-0.55383050160000002</v>
      </c>
    </row>
    <row r="889" spans="1:6" x14ac:dyDescent="0.4">
      <c r="A889" s="4">
        <v>776.358475</v>
      </c>
      <c r="B889" s="4">
        <v>1.0465111</v>
      </c>
      <c r="C889" s="4">
        <v>1.0328485999999999</v>
      </c>
      <c r="D889" s="4">
        <v>-29.826031999999998</v>
      </c>
      <c r="E889" s="4">
        <f>((-41.2988328/(10/9))+-10.5)+-0.4</f>
        <v>-48.068949519999997</v>
      </c>
      <c r="F889" s="4">
        <f>((-0.48847815*(1.3/1.5))*0.6)-0.3</f>
        <v>-0.554008638</v>
      </c>
    </row>
    <row r="890" spans="1:6" x14ac:dyDescent="0.4">
      <c r="A890" s="4">
        <v>777.23340000000007</v>
      </c>
      <c r="B890" s="4">
        <v>1.0464994000000001</v>
      </c>
      <c r="C890" s="4">
        <v>1.033093</v>
      </c>
      <c r="D890" s="4">
        <v>-29.824536999999999</v>
      </c>
      <c r="E890" s="4">
        <f>((-41.3914752/(10/9))+-10.5)+-0.4</f>
        <v>-48.152327679999999</v>
      </c>
      <c r="F890" s="4">
        <f>((-0.48878145*(1.3/1.5))*0.6)-0.3</f>
        <v>-0.55416635399999992</v>
      </c>
    </row>
    <row r="891" spans="1:6" x14ac:dyDescent="0.4">
      <c r="A891" s="4">
        <v>778.10832499999992</v>
      </c>
      <c r="B891" s="4">
        <v>1.0465609</v>
      </c>
      <c r="C891" s="4">
        <v>1.0331252</v>
      </c>
      <c r="D891" s="4">
        <v>-29.823014000000001</v>
      </c>
      <c r="E891" s="4">
        <f>((-41.2600167/(10/9))+-10.5)+-0.4</f>
        <v>-48.034015029999999</v>
      </c>
      <c r="F891" s="4">
        <f>((-0.48908594*(1.3/1.5))*0.6)-0.3</f>
        <v>-0.55432468879999997</v>
      </c>
    </row>
    <row r="892" spans="1:6" x14ac:dyDescent="0.4">
      <c r="A892" s="4">
        <v>778.98325</v>
      </c>
      <c r="B892" s="4">
        <v>1.0462389999999999</v>
      </c>
      <c r="C892" s="4">
        <v>1.0330883</v>
      </c>
      <c r="D892" s="4">
        <v>-29.821679</v>
      </c>
      <c r="E892" s="4">
        <f>((-41.2873695/(10/9))+-10.5)+-0.4</f>
        <v>-48.058632549999992</v>
      </c>
      <c r="F892" s="4">
        <f>((-0.48940283*(1.3/1.5))*0.6)-0.3</f>
        <v>-0.55448947159999995</v>
      </c>
    </row>
    <row r="893" spans="1:6" x14ac:dyDescent="0.4">
      <c r="A893" s="4">
        <v>779.85817500000007</v>
      </c>
      <c r="B893" s="4">
        <v>1.0461577</v>
      </c>
      <c r="C893" s="4">
        <v>1.0329602</v>
      </c>
      <c r="D893" s="4">
        <v>-29.820224</v>
      </c>
      <c r="E893" s="4">
        <f>((-41.3401311/(10/9))+-10.5)+-0.4</f>
        <v>-48.106117989999994</v>
      </c>
      <c r="F893" s="4">
        <f>((-0.48963538*(1.3/1.5))*0.6)-0.3</f>
        <v>-0.55461039760000008</v>
      </c>
    </row>
    <row r="894" spans="1:6" x14ac:dyDescent="0.4">
      <c r="A894" s="4">
        <v>780.73309999999992</v>
      </c>
      <c r="B894" s="4">
        <v>1.04616</v>
      </c>
      <c r="C894" s="4">
        <v>1.0329839999999999</v>
      </c>
      <c r="D894" s="4">
        <v>-29.818614</v>
      </c>
      <c r="E894" s="4">
        <f>((-41.2453026/(10/9))+-10.5)+-0.4</f>
        <v>-48.020772340000001</v>
      </c>
      <c r="F894" s="4">
        <f>((-0.48983809*(1.3/1.5))*0.6)-0.3</f>
        <v>-0.55471580679999999</v>
      </c>
    </row>
    <row r="895" spans="1:6" x14ac:dyDescent="0.4">
      <c r="A895" s="4">
        <v>781.608025</v>
      </c>
      <c r="B895" s="4">
        <v>1.0459833999999999</v>
      </c>
      <c r="C895" s="4">
        <v>1.0330477</v>
      </c>
      <c r="D895" s="4">
        <v>-29.817231</v>
      </c>
      <c r="E895" s="4">
        <f>((-41.2675326/(10/9))+-10.5)+-0.4</f>
        <v>-48.04077934</v>
      </c>
      <c r="F895" s="4">
        <f>((-0.49018195*(1.3/1.5))*0.6)-0.3</f>
        <v>-0.55489461399999995</v>
      </c>
    </row>
    <row r="896" spans="1:6" x14ac:dyDescent="0.4">
      <c r="A896" s="4">
        <v>782.48294999999996</v>
      </c>
      <c r="B896" s="4">
        <v>1.0459824</v>
      </c>
      <c r="C896" s="4">
        <v>1.0331600000000001</v>
      </c>
      <c r="D896" s="4">
        <v>-29.815524</v>
      </c>
      <c r="E896" s="4">
        <f>((-41.2937316/(10/9))+-10.5)+-0.4</f>
        <v>-48.064358439999999</v>
      </c>
      <c r="F896" s="4">
        <f>((-0.49049094*(1.3/1.5))*0.6)-0.3</f>
        <v>-0.55505528879999999</v>
      </c>
    </row>
    <row r="897" spans="1:6" x14ac:dyDescent="0.4">
      <c r="A897" s="4">
        <v>783.35787500000004</v>
      </c>
      <c r="B897" s="4">
        <v>1.0457668</v>
      </c>
      <c r="C897" s="4">
        <v>1.0329944</v>
      </c>
      <c r="D897" s="4">
        <v>-29.814032999999998</v>
      </c>
      <c r="E897" s="4">
        <f>((-41.2306938/(10/9))+-10.5)+-0.4</f>
        <v>-48.007624419999992</v>
      </c>
      <c r="F897" s="4">
        <f>((-0.49076226*(1.3/1.5))*0.6)-0.3</f>
        <v>-0.55519637519999998</v>
      </c>
    </row>
    <row r="898" spans="1:6" x14ac:dyDescent="0.4">
      <c r="A898" s="4">
        <v>784.2328</v>
      </c>
      <c r="B898" s="4">
        <v>1.0458117</v>
      </c>
      <c r="C898" s="4">
        <v>1.0330064000000001</v>
      </c>
      <c r="D898" s="4">
        <v>-29.812694</v>
      </c>
      <c r="E898" s="4">
        <f>((-41.2605045/(10/9))+-10.5)+-0.4</f>
        <v>-48.034454050000001</v>
      </c>
      <c r="F898" s="4">
        <f>((-0.49106649*(1.3/1.5))*0.6)-0.3</f>
        <v>-0.55535457479999994</v>
      </c>
    </row>
    <row r="899" spans="1:6" x14ac:dyDescent="0.4">
      <c r="A899" s="4">
        <v>785.10772499999996</v>
      </c>
      <c r="B899" s="4">
        <v>1.0457752</v>
      </c>
      <c r="C899" s="4">
        <v>1.0329638999999999</v>
      </c>
      <c r="D899" s="4">
        <v>-29.811802999999998</v>
      </c>
      <c r="E899" s="4">
        <f>((-41.1789555/(10/9))+-10.5)+-0.4</f>
        <v>-47.961059949999999</v>
      </c>
      <c r="F899" s="4">
        <f>((-0.49143764*(1.3/1.5))*0.6)-0.3</f>
        <v>-0.5555475728</v>
      </c>
    </row>
    <row r="900" spans="1:6" x14ac:dyDescent="0.4">
      <c r="A900" s="4">
        <v>785.98265000000004</v>
      </c>
      <c r="B900" s="4">
        <v>1.0457612999999999</v>
      </c>
      <c r="C900" s="4">
        <v>1.0330063</v>
      </c>
      <c r="D900" s="4">
        <v>-29.810576999999999</v>
      </c>
      <c r="E900" s="4">
        <f>((-41.2485327/(10/9))+-10.5)+-0.4</f>
        <v>-48.023679429999994</v>
      </c>
      <c r="F900" s="4">
        <f>((-0.49187449*(1.3/1.5))*0.6)-0.3</f>
        <v>-0.55577473479999995</v>
      </c>
    </row>
    <row r="901" spans="1:6" x14ac:dyDescent="0.4">
      <c r="A901" s="4">
        <v>786.857575</v>
      </c>
      <c r="B901" s="4">
        <v>1.0455585000000001</v>
      </c>
      <c r="C901" s="4">
        <v>1.0329242999999999</v>
      </c>
      <c r="D901" s="4">
        <v>-29.809472</v>
      </c>
      <c r="E901" s="4">
        <f>((-41.2756245/(10/9))+-10.5)+-0.4</f>
        <v>-48.048062049999999</v>
      </c>
      <c r="F901" s="4">
        <f>((-0.49225762*(1.3/1.5))*0.6)-0.3</f>
        <v>-0.55597396239999997</v>
      </c>
    </row>
    <row r="902" spans="1:6" x14ac:dyDescent="0.4">
      <c r="A902" s="4">
        <v>787.73249999999996</v>
      </c>
      <c r="B902" s="4">
        <v>1.0454143</v>
      </c>
      <c r="C902" s="4">
        <v>1.0329485</v>
      </c>
      <c r="D902" s="4">
        <v>-29.808308999999998</v>
      </c>
      <c r="E902" s="4">
        <f>((-41.1577893/(10/9))+-10.5)+-0.4</f>
        <v>-47.942010369999991</v>
      </c>
      <c r="F902" s="4">
        <f>((-0.49258938*(1.3/1.5))*0.6)-0.3</f>
        <v>-0.55614647760000002</v>
      </c>
    </row>
    <row r="903" spans="1:6" x14ac:dyDescent="0.4">
      <c r="A903" s="4">
        <v>788.60742500000003</v>
      </c>
      <c r="B903" s="4">
        <v>1.0453309</v>
      </c>
      <c r="C903" s="4">
        <v>1.0330447</v>
      </c>
      <c r="D903" s="4">
        <v>-29.807335999999999</v>
      </c>
      <c r="E903" s="4">
        <f>((-41.1052608/(10/9))+-10.5)+-0.4</f>
        <v>-47.894734720000002</v>
      </c>
      <c r="F903" s="4">
        <f>((-0.49293253*(1.3/1.5))*0.6)-0.3</f>
        <v>-0.55632491559999997</v>
      </c>
    </row>
    <row r="904" spans="1:6" x14ac:dyDescent="0.4">
      <c r="A904" s="4">
        <v>789.48235</v>
      </c>
      <c r="B904" s="4">
        <v>1.0453201999999999</v>
      </c>
      <c r="C904" s="4">
        <v>1.0330436999999999</v>
      </c>
      <c r="D904" s="4">
        <v>-29.806215999999999</v>
      </c>
      <c r="E904" s="4">
        <f>((-41.1939999/(10/9))+-10.5)+-0.4</f>
        <v>-47.974599909999995</v>
      </c>
      <c r="F904" s="4">
        <f>((-0.49320173*(1.3/1.5))*0.6)-0.3</f>
        <v>-0.55646489960000001</v>
      </c>
    </row>
    <row r="905" spans="1:6" x14ac:dyDescent="0.4">
      <c r="A905" s="4">
        <v>790.35727500000007</v>
      </c>
      <c r="B905" s="4">
        <v>1.0452093</v>
      </c>
      <c r="C905" s="4">
        <v>1.0331626</v>
      </c>
      <c r="D905" s="4">
        <v>-29.804894999999998</v>
      </c>
      <c r="E905" s="4">
        <f>((-41.1236217/(10/9))+-10.5)+-0.4</f>
        <v>-47.911259529999995</v>
      </c>
      <c r="F905" s="4">
        <f>((-0.49351719*(1.3/1.5))*0.6)-0.3</f>
        <v>-0.55662893879999997</v>
      </c>
    </row>
    <row r="906" spans="1:6" x14ac:dyDescent="0.4">
      <c r="A906" s="4">
        <v>791.23219999999992</v>
      </c>
      <c r="B906" s="4">
        <v>1.0452345999999999</v>
      </c>
      <c r="C906" s="4">
        <v>1.0332444999999999</v>
      </c>
      <c r="D906" s="4">
        <v>-29.803564999999999</v>
      </c>
      <c r="E906" s="4">
        <f>((-41.1056316/(10/9))+-10.5)+-0.4</f>
        <v>-47.895068439999996</v>
      </c>
      <c r="F906" s="4">
        <f>((-0.4938198*(1.3/1.5))*0.6)-0.3</f>
        <v>-0.55678629599999996</v>
      </c>
    </row>
    <row r="907" spans="1:6" x14ac:dyDescent="0.4">
      <c r="A907" s="4">
        <v>792.107125</v>
      </c>
      <c r="B907" s="4">
        <v>1.0452699999999999</v>
      </c>
      <c r="C907" s="4">
        <v>1.033047</v>
      </c>
      <c r="D907" s="4">
        <v>-29.802641999999999</v>
      </c>
      <c r="E907" s="4">
        <f>((-41.2213761/(10/9))+-10.5)+-0.4</f>
        <v>-47.999238489999996</v>
      </c>
      <c r="F907" s="4">
        <f>((-0.49411866*(1.3/1.5))*0.6)-0.3</f>
        <v>-0.55694170319999992</v>
      </c>
    </row>
    <row r="908" spans="1:6" x14ac:dyDescent="0.4">
      <c r="A908" s="4">
        <v>792.98205000000007</v>
      </c>
      <c r="B908" s="4">
        <v>1.0447773</v>
      </c>
      <c r="C908" s="4">
        <v>1.0331570999999999</v>
      </c>
      <c r="D908" s="4">
        <v>-29.801947999999999</v>
      </c>
      <c r="E908" s="4">
        <f>((-41.2419825/(10/9))+-10.5)+-0.4</f>
        <v>-48.017784249999998</v>
      </c>
      <c r="F908" s="4">
        <f>((-0.49450216*(1.3/1.5))*0.6)-0.3</f>
        <v>-0.55714112320000009</v>
      </c>
    </row>
    <row r="909" spans="1:6" x14ac:dyDescent="0.4">
      <c r="A909" s="4">
        <v>793.85697499999992</v>
      </c>
      <c r="B909" s="4">
        <v>1.0449432000000001</v>
      </c>
      <c r="C909" s="4">
        <v>1.033093</v>
      </c>
      <c r="D909" s="4">
        <v>-29.800992000000001</v>
      </c>
      <c r="E909" s="4">
        <f>((-41.2982289/(10/9))+-10.5)+-0.4</f>
        <v>-48.068406009999997</v>
      </c>
      <c r="F909" s="4">
        <f>((-0.49484932*(1.3/1.5))*0.6)-0.3</f>
        <v>-0.55732164639999993</v>
      </c>
    </row>
    <row r="910" spans="1:6" x14ac:dyDescent="0.4">
      <c r="A910" s="4">
        <v>794.7319</v>
      </c>
      <c r="B910" s="4">
        <v>1.0447754</v>
      </c>
      <c r="C910" s="4">
        <v>1.0329553</v>
      </c>
      <c r="D910" s="4">
        <v>-29.800321</v>
      </c>
      <c r="E910" s="4">
        <f>((-41.1235425/(10/9))+-10.5)+-0.4</f>
        <v>-47.911188249999995</v>
      </c>
      <c r="F910" s="4">
        <f>((-0.49515262*(1.3/1.5))*0.6)-0.3</f>
        <v>-0.55747936239999996</v>
      </c>
    </row>
    <row r="911" spans="1:6" x14ac:dyDescent="0.4">
      <c r="A911" s="4">
        <v>795.60682499999996</v>
      </c>
      <c r="B911" s="4">
        <v>1.0445427</v>
      </c>
      <c r="C911" s="4">
        <v>1.0329786999999999</v>
      </c>
      <c r="D911" s="4">
        <v>-29.799381999999998</v>
      </c>
      <c r="E911" s="4">
        <f>((-41.0380587/(10/9))+-10.5)+-0.4</f>
        <v>-47.834252829999997</v>
      </c>
      <c r="F911" s="4">
        <f>((-0.49547189*(1.3/1.5))*0.6)-0.3</f>
        <v>-0.55764538280000009</v>
      </c>
    </row>
    <row r="912" spans="1:6" x14ac:dyDescent="0.4">
      <c r="A912" s="4">
        <v>796.48175000000003</v>
      </c>
      <c r="B912" s="4">
        <v>1.044605</v>
      </c>
      <c r="C912" s="4">
        <v>1.0330784</v>
      </c>
      <c r="D912" s="4">
        <v>-29.798338999999999</v>
      </c>
      <c r="E912" s="4">
        <f>((-41.1077637/(10/9))+-10.5)+-0.4</f>
        <v>-47.896987329999995</v>
      </c>
      <c r="F912" s="4">
        <f>((-0.49576962*(1.3/1.5))*0.6)-0.3</f>
        <v>-0.55780020239999994</v>
      </c>
    </row>
    <row r="913" spans="1:6" x14ac:dyDescent="0.4">
      <c r="A913" s="4">
        <v>797.356675</v>
      </c>
      <c r="B913" s="4">
        <v>1.0447090000000001</v>
      </c>
      <c r="C913" s="4">
        <v>1.0330318000000001</v>
      </c>
      <c r="D913" s="4">
        <v>-29.797998</v>
      </c>
      <c r="E913" s="4">
        <f>((-41.1120144/(10/9))+-10.5)+-0.4</f>
        <v>-47.900812959999996</v>
      </c>
      <c r="F913" s="4">
        <f>((-0.49613833*(1.3/1.5))*0.6)-0.3</f>
        <v>-0.55799193159999994</v>
      </c>
    </row>
    <row r="914" spans="1:6" x14ac:dyDescent="0.4">
      <c r="A914" s="4">
        <v>798.23159999999996</v>
      </c>
      <c r="B914" s="4">
        <v>1.044521</v>
      </c>
      <c r="C914" s="4">
        <v>1.0333083000000001</v>
      </c>
      <c r="D914" s="4">
        <v>-29.797556999999998</v>
      </c>
      <c r="E914" s="4">
        <f>((-41.080617/(10/9))+-10.5)+-0.4</f>
        <v>-47.872555299999995</v>
      </c>
      <c r="F914" s="4">
        <f>((-0.49650338*(1.3/1.5))*0.6)-0.3</f>
        <v>-0.55818175759999999</v>
      </c>
    </row>
    <row r="915" spans="1:6" x14ac:dyDescent="0.4">
      <c r="A915" s="4">
        <v>799.10652500000003</v>
      </c>
      <c r="B915" s="4">
        <v>1.0446196999999999</v>
      </c>
      <c r="C915" s="4">
        <v>1.0332754</v>
      </c>
      <c r="D915" s="4">
        <v>-29.796779000000001</v>
      </c>
      <c r="E915" s="4">
        <f>((-41.1346215/(10/9))+-10.5)+-0.4</f>
        <v>-47.921159349999996</v>
      </c>
      <c r="F915" s="4">
        <f>((-0.49684313*(1.3/1.5))*0.6)-0.3</f>
        <v>-0.55835842759999998</v>
      </c>
    </row>
    <row r="916" spans="1:6" x14ac:dyDescent="0.4">
      <c r="A916" s="4">
        <v>799.98145</v>
      </c>
      <c r="B916" s="4">
        <v>1.0445399</v>
      </c>
      <c r="C916" s="4">
        <v>1.0332321</v>
      </c>
      <c r="D916" s="4">
        <v>-29.796184</v>
      </c>
      <c r="E916" s="4">
        <f>((-41.0655969/(10/9))+-10.5)+-0.4</f>
        <v>-47.859037209999997</v>
      </c>
      <c r="F916" s="4">
        <f>((-0.49718526*(1.3/1.5))*0.6)-0.3</f>
        <v>-0.55853633520000001</v>
      </c>
    </row>
    <row r="917" spans="1:6" x14ac:dyDescent="0.4">
      <c r="A917" s="4">
        <v>800.85637499999996</v>
      </c>
      <c r="B917" s="4">
        <v>1.0444637999999999</v>
      </c>
      <c r="C917" s="4">
        <v>1.0333226</v>
      </c>
      <c r="D917" s="4">
        <v>-29.795290999999999</v>
      </c>
      <c r="E917" s="4">
        <f>((-41.0058144/(10/9))+-10.5)+-0.4</f>
        <v>-47.805232959999998</v>
      </c>
      <c r="F917" s="4">
        <f>((-0.49761266*(1.3/1.5))*0.6)-0.3</f>
        <v>-0.55875858319999994</v>
      </c>
    </row>
    <row r="918" spans="1:6" x14ac:dyDescent="0.4">
      <c r="A918" s="4">
        <v>801.73130000000003</v>
      </c>
      <c r="B918" s="4">
        <v>1.0441303</v>
      </c>
      <c r="C918" s="4">
        <v>1.0331964</v>
      </c>
      <c r="D918" s="4">
        <v>-29.794549</v>
      </c>
      <c r="E918" s="4">
        <f>((-40.993938/(10/9))+-10.5)+-0.4</f>
        <v>-47.794544199999997</v>
      </c>
      <c r="F918" s="4">
        <f>((-0.49796212*(1.3/1.5))*0.6)-0.3</f>
        <v>-0.55894030239999992</v>
      </c>
    </row>
    <row r="919" spans="1:6" x14ac:dyDescent="0.4">
      <c r="A919" s="4">
        <v>802.60622499999999</v>
      </c>
      <c r="B919" s="4">
        <v>1.0442821</v>
      </c>
      <c r="C919" s="4">
        <v>1.0333428</v>
      </c>
      <c r="D919" s="4">
        <v>-29.793818999999999</v>
      </c>
      <c r="E919" s="4">
        <f>((-40.9604436/(10/9))+-10.5)+-0.4</f>
        <v>-47.764399239999996</v>
      </c>
      <c r="F919" s="4">
        <f>((-0.49826515*(1.3/1.5))*0.6)-0.3</f>
        <v>-0.55909787799999999</v>
      </c>
    </row>
    <row r="920" spans="1:6" x14ac:dyDescent="0.4">
      <c r="A920" s="4">
        <v>803.48115000000007</v>
      </c>
      <c r="B920" s="4">
        <v>1.0442243</v>
      </c>
      <c r="C920" s="4">
        <v>1.0334264</v>
      </c>
      <c r="D920" s="4">
        <v>-29.793120999999999</v>
      </c>
      <c r="E920" s="4">
        <f>((-41.0015601/(10/9))+-10.5)+-0.4</f>
        <v>-47.801404089999998</v>
      </c>
      <c r="F920" s="4">
        <f>((-0.49862081*(1.3/1.5))*0.6)-0.3</f>
        <v>-0.55928282120000006</v>
      </c>
    </row>
    <row r="921" spans="1:6" x14ac:dyDescent="0.4">
      <c r="A921" s="4">
        <v>804.35607499999992</v>
      </c>
      <c r="B921" s="4">
        <v>1.0440091</v>
      </c>
      <c r="C921" s="4">
        <v>1.0335037</v>
      </c>
      <c r="D921" s="4">
        <v>-29.792446999999999</v>
      </c>
      <c r="E921" s="4">
        <f>((-41.0781861/(10/9))+-10.5)+-0.4</f>
        <v>-47.87036749</v>
      </c>
      <c r="F921" s="4">
        <f>((-0.49903044*(1.3/1.5))*0.6)-0.3</f>
        <v>-0.55949582880000004</v>
      </c>
    </row>
    <row r="922" spans="1:6" x14ac:dyDescent="0.4">
      <c r="A922" s="4">
        <v>805.23099999999999</v>
      </c>
      <c r="B922" s="4">
        <v>1.0439670000000001</v>
      </c>
      <c r="C922" s="4">
        <v>1.033223</v>
      </c>
      <c r="D922" s="4">
        <v>-29.791653999999998</v>
      </c>
      <c r="E922" s="4">
        <f>((-41.0207724/(10/9))+-10.5)+-0.4</f>
        <v>-47.818695159999997</v>
      </c>
      <c r="F922" s="4">
        <f>((-0.49943119*(1.3/1.5))*0.6)-0.3</f>
        <v>-0.55970421879999999</v>
      </c>
    </row>
    <row r="923" spans="1:6" x14ac:dyDescent="0.4">
      <c r="A923" s="4">
        <v>806.10592500000007</v>
      </c>
      <c r="B923" s="4">
        <v>1.0437844999999999</v>
      </c>
      <c r="C923" s="4">
        <v>1.0332313</v>
      </c>
      <c r="D923" s="4">
        <v>-29.790863999999999</v>
      </c>
      <c r="E923" s="4">
        <f>((-41.135751/(10/9))+-10.5)+-0.4</f>
        <v>-47.922175899999999</v>
      </c>
      <c r="F923" s="4">
        <f>((-0.49983132*(1.3/1.5))*0.6)-0.3</f>
        <v>-0.55991228640000001</v>
      </c>
    </row>
    <row r="924" spans="1:6" x14ac:dyDescent="0.4">
      <c r="A924" s="4">
        <v>806.98085000000003</v>
      </c>
      <c r="B924" s="4">
        <v>1.0437261</v>
      </c>
      <c r="C924" s="4">
        <v>1.0332813000000001</v>
      </c>
      <c r="D924" s="4">
        <v>-29.789583999999998</v>
      </c>
      <c r="E924" s="4">
        <f>((-40.9928121/(10/9))+-10.5)+-0.4</f>
        <v>-47.79353089</v>
      </c>
      <c r="F924" s="4">
        <f>((-0.50025815*(1.3/1.5))*0.6)-0.3</f>
        <v>-0.56013423799999995</v>
      </c>
    </row>
    <row r="925" spans="1:6" x14ac:dyDescent="0.4">
      <c r="A925" s="4">
        <v>807.85577499999999</v>
      </c>
      <c r="B925" s="4">
        <v>1.0437965</v>
      </c>
      <c r="C925" s="4">
        <v>1.0334482</v>
      </c>
      <c r="D925" s="4">
        <v>-29.788701</v>
      </c>
      <c r="E925" s="4">
        <f>((-41.0159079/(10/9))+-10.5)+-0.4</f>
        <v>-47.814317109999998</v>
      </c>
      <c r="F925" s="4">
        <f>((-0.50062746*(1.3/1.5))*0.6)-0.3</f>
        <v>-0.5603262792</v>
      </c>
    </row>
    <row r="926" spans="1:6" x14ac:dyDescent="0.4">
      <c r="A926" s="4">
        <v>808.73069999999996</v>
      </c>
      <c r="B926" s="4">
        <v>1.0434977000000001</v>
      </c>
      <c r="C926" s="4">
        <v>1.0332836000000001</v>
      </c>
      <c r="D926" s="4">
        <v>-29.78782</v>
      </c>
      <c r="E926" s="4">
        <f>((-41.0191317/(10/9))+-10.5)+-0.4</f>
        <v>-47.817218529999998</v>
      </c>
      <c r="F926" s="4">
        <f>((-0.50106663*(1.3/1.5))*0.6)-0.3</f>
        <v>-0.56055464759999996</v>
      </c>
    </row>
    <row r="927" spans="1:6" x14ac:dyDescent="0.4">
      <c r="A927" s="4">
        <v>809.60562500000003</v>
      </c>
      <c r="B927" s="4">
        <v>1.0436753000000001</v>
      </c>
      <c r="C927" s="4">
        <v>1.0334220000000001</v>
      </c>
      <c r="D927" s="4">
        <v>-29.787016999999999</v>
      </c>
      <c r="E927" s="4">
        <f>((-40.9011417/(10/9))+-10.5)+-0.4</f>
        <v>-47.711027529999996</v>
      </c>
      <c r="F927" s="4">
        <f>((-0.50147098*(1.3/1.5))*0.6)-0.3</f>
        <v>-0.56076490960000003</v>
      </c>
    </row>
    <row r="928" spans="1:6" x14ac:dyDescent="0.4">
      <c r="A928" s="4">
        <v>810.48054999999999</v>
      </c>
      <c r="B928" s="4">
        <v>1.0434242</v>
      </c>
      <c r="C928" s="4">
        <v>1.0335201999999999</v>
      </c>
      <c r="D928" s="4">
        <v>-29.786270999999999</v>
      </c>
      <c r="E928" s="4">
        <f>((-40.9323051/(10/9))+-10.5)+-0.4</f>
        <v>-47.739074589999994</v>
      </c>
      <c r="F928" s="4">
        <f>((-0.50180501*(1.3/1.5))*0.6)-0.3</f>
        <v>-0.56093860520000005</v>
      </c>
    </row>
    <row r="929" spans="1:6" x14ac:dyDescent="0.4">
      <c r="A929" s="4">
        <v>811.35547499999996</v>
      </c>
      <c r="B929" s="4">
        <v>1.0435821999999999</v>
      </c>
      <c r="C929" s="4">
        <v>1.0335323999999999</v>
      </c>
      <c r="D929" s="4">
        <v>-29.785343999999998</v>
      </c>
      <c r="E929" s="4">
        <f>((-40.8943233/(10/9))+-10.5)+-0.4</f>
        <v>-47.704890970000001</v>
      </c>
      <c r="F929" s="4">
        <f>((-0.50217152*(1.3/1.5))*0.6)-0.3</f>
        <v>-0.56112919039999998</v>
      </c>
    </row>
    <row r="930" spans="1:6" x14ac:dyDescent="0.4">
      <c r="A930" s="4">
        <v>812.23040000000003</v>
      </c>
      <c r="B930" s="4">
        <v>1.0435238</v>
      </c>
      <c r="C930" s="4">
        <v>1.0336924000000001</v>
      </c>
      <c r="D930" s="4">
        <v>-29.784095000000001</v>
      </c>
      <c r="E930" s="4">
        <f>((-40.9271553/(10/9))+-10.5)+-0.4</f>
        <v>-47.734439770000002</v>
      </c>
      <c r="F930" s="4">
        <f>((-0.5025453*(1.3/1.5))*0.6)-0.3</f>
        <v>-0.56132355599999995</v>
      </c>
    </row>
    <row r="931" spans="1:6" x14ac:dyDescent="0.4">
      <c r="A931" s="4">
        <v>813.10532499999999</v>
      </c>
      <c r="B931" s="4">
        <v>1.0434745999999999</v>
      </c>
      <c r="C931" s="4">
        <v>1.0334814999999999</v>
      </c>
      <c r="D931" s="4">
        <v>-29.783035999999999</v>
      </c>
      <c r="E931" s="4">
        <f>((-40.8928329/(10/9))+-10.5)+-0.4</f>
        <v>-47.703549609999996</v>
      </c>
      <c r="F931" s="4">
        <f>((-0.50290382*(1.3/1.5))*0.6)-0.3</f>
        <v>-0.56150998639999994</v>
      </c>
    </row>
    <row r="932" spans="1:6" x14ac:dyDescent="0.4">
      <c r="A932" s="4">
        <v>813.98024999999996</v>
      </c>
      <c r="B932" s="4">
        <v>1.0433317</v>
      </c>
      <c r="C932" s="4">
        <v>1.0333327999999999</v>
      </c>
      <c r="D932" s="4">
        <v>-29.781943999999999</v>
      </c>
      <c r="E932" s="4">
        <f>((-41.0034042/(10/9))+-10.5)+-0.4</f>
        <v>-47.803063779999995</v>
      </c>
      <c r="F932" s="4">
        <f>((-0.50329292*(1.3/1.5))*0.6)-0.3</f>
        <v>-0.56171231840000002</v>
      </c>
    </row>
    <row r="933" spans="1:6" x14ac:dyDescent="0.4">
      <c r="A933" s="4">
        <v>814.85517500000003</v>
      </c>
      <c r="B933" s="4">
        <v>1.0432220000000001</v>
      </c>
      <c r="C933" s="4">
        <v>1.0333916999999999</v>
      </c>
      <c r="D933" s="4">
        <v>-29.780747999999999</v>
      </c>
      <c r="E933" s="4">
        <f>((-40.8978351/(10/9))+-10.5)+-0.4</f>
        <v>-47.708051589999997</v>
      </c>
      <c r="F933" s="4">
        <f>((-0.50367534*(1.3/1.5))*0.6)-0.3</f>
        <v>-0.56191117680000002</v>
      </c>
    </row>
    <row r="934" spans="1:6" x14ac:dyDescent="0.4">
      <c r="A934" s="4">
        <v>815.73009999999999</v>
      </c>
      <c r="B934" s="4">
        <v>1.0428755999999999</v>
      </c>
      <c r="C934" s="4">
        <v>1.0334295</v>
      </c>
      <c r="D934" s="4">
        <v>-29.779738999999999</v>
      </c>
      <c r="E934" s="4">
        <f>((-40.9816512/(10/9))+-10.5)+-0.4</f>
        <v>-47.783486079999996</v>
      </c>
      <c r="F934" s="4">
        <f>((-0.50400138*(1.3/1.5))*0.6)-0.3</f>
        <v>-0.5620807176</v>
      </c>
    </row>
    <row r="935" spans="1:6" x14ac:dyDescent="0.4">
      <c r="A935" s="4">
        <v>816.60502500000007</v>
      </c>
      <c r="B935" s="4">
        <v>1.042851</v>
      </c>
      <c r="C935" s="4">
        <v>1.0333988999999999</v>
      </c>
      <c r="D935" s="4">
        <v>-29.778753999999999</v>
      </c>
      <c r="E935" s="4">
        <f>((-40.865841/(10/9))+-10.5)+-0.4</f>
        <v>-47.679256899999999</v>
      </c>
      <c r="F935" s="4">
        <f>((-0.50430816*(1.3/1.5))*0.6)-0.3</f>
        <v>-0.56224024319999999</v>
      </c>
    </row>
    <row r="936" spans="1:6" x14ac:dyDescent="0.4">
      <c r="A936" s="4">
        <v>817.47994999999992</v>
      </c>
      <c r="B936" s="4">
        <v>1.0428580000000001</v>
      </c>
      <c r="C936" s="4">
        <v>1.0334030000000001</v>
      </c>
      <c r="D936" s="4">
        <v>-29.777929999999998</v>
      </c>
      <c r="E936" s="4">
        <f>((-40.869549/(10/9))+-10.5)+-0.4</f>
        <v>-47.682594099999996</v>
      </c>
      <c r="F936" s="4">
        <f>((-0.50468755*(1.3/1.5))*0.6)-0.3</f>
        <v>-0.56243752599999997</v>
      </c>
    </row>
    <row r="937" spans="1:6" x14ac:dyDescent="0.4">
      <c r="A937" s="4">
        <v>818.35487499999999</v>
      </c>
      <c r="B937" s="4">
        <v>1.0427681</v>
      </c>
      <c r="C937" s="4">
        <v>1.0336905999999999</v>
      </c>
      <c r="D937" s="4">
        <v>-29.777034</v>
      </c>
      <c r="E937" s="4">
        <f>((-41.0074101/(10/9))+-10.5)+-0.4</f>
        <v>-47.80666909</v>
      </c>
      <c r="F937" s="4">
        <f>((-0.50511605*(1.3/1.5))*0.6)-0.3</f>
        <v>-0.56266034600000003</v>
      </c>
    </row>
    <row r="938" spans="1:6" x14ac:dyDescent="0.4">
      <c r="A938" s="4">
        <v>819.22980000000007</v>
      </c>
      <c r="B938" s="4">
        <v>1.0426097999999999</v>
      </c>
      <c r="C938" s="4">
        <v>1.0336327999999999</v>
      </c>
      <c r="D938" s="4">
        <v>-29.775988999999999</v>
      </c>
      <c r="E938" s="4">
        <f>((-40.9167351/(10/9))+-10.5)+-0.4</f>
        <v>-47.725061589999996</v>
      </c>
      <c r="F938" s="4">
        <f>((-0.50541627*(1.3/1.5))*0.6)-0.3</f>
        <v>-0.5628164604</v>
      </c>
    </row>
    <row r="939" spans="1:6" x14ac:dyDescent="0.4">
      <c r="A939" s="4">
        <v>820.10472500000003</v>
      </c>
      <c r="B939" s="4">
        <v>1.0428617</v>
      </c>
      <c r="C939" s="4">
        <v>1.0336783</v>
      </c>
      <c r="D939" s="4">
        <v>-29.774812000000001</v>
      </c>
      <c r="E939" s="4">
        <f>((-40.9332771/(10/9))+-10.5)+-0.4</f>
        <v>-47.739949389999992</v>
      </c>
      <c r="F939" s="4">
        <f>((-0.50572193*(1.3/1.5))*0.6)-0.3</f>
        <v>-0.56297540359999998</v>
      </c>
    </row>
    <row r="940" spans="1:6" x14ac:dyDescent="0.4">
      <c r="A940" s="4">
        <v>820.97964999999999</v>
      </c>
      <c r="B940" s="4">
        <v>1.0426506</v>
      </c>
      <c r="C940" s="4">
        <v>1.0336033</v>
      </c>
      <c r="D940" s="4">
        <v>-29.773622</v>
      </c>
      <c r="E940" s="4">
        <f>((-40.9110228/(10/9))+-10.5)+-0.4</f>
        <v>-47.719920519999995</v>
      </c>
      <c r="F940" s="4">
        <f>((-0.50603545*(1.3/1.5))*0.6)-0.3</f>
        <v>-0.56313843400000008</v>
      </c>
    </row>
    <row r="941" spans="1:6" x14ac:dyDescent="0.4">
      <c r="A941" s="4">
        <v>821.85457499999995</v>
      </c>
      <c r="B941" s="4">
        <v>1.0424346</v>
      </c>
      <c r="C941" s="4">
        <v>1.0337236000000001</v>
      </c>
      <c r="D941" s="4">
        <v>-29.772697000000001</v>
      </c>
      <c r="E941" s="4">
        <f>((-40.7896614/(10/9))+-10.5)+-0.4</f>
        <v>-47.61069526</v>
      </c>
      <c r="F941" s="4">
        <f>((-0.50637418*(1.3/1.5))*0.6)-0.3</f>
        <v>-0.56331457360000003</v>
      </c>
    </row>
    <row r="942" spans="1:6" x14ac:dyDescent="0.4">
      <c r="A942" s="4">
        <v>822.72950000000003</v>
      </c>
      <c r="B942" s="4">
        <v>1.0422647</v>
      </c>
      <c r="C942" s="4">
        <v>1.0336555000000001</v>
      </c>
      <c r="D942" s="4">
        <v>-29.771549999999998</v>
      </c>
      <c r="E942" s="4">
        <f>((-40.865886/(10/9))+-10.5)+-0.4</f>
        <v>-47.679297400000003</v>
      </c>
      <c r="F942" s="4">
        <f>((-0.50669378*(1.3/1.5))*0.6)-0.3</f>
        <v>-0.56348076560000004</v>
      </c>
    </row>
    <row r="943" spans="1:6" x14ac:dyDescent="0.4">
      <c r="A943" s="4">
        <v>823.60442499999999</v>
      </c>
      <c r="B943" s="4">
        <v>1.0424606999999999</v>
      </c>
      <c r="C943" s="4">
        <v>1.0337289999999999</v>
      </c>
      <c r="D943" s="4">
        <v>-29.770479999999999</v>
      </c>
      <c r="E943" s="4">
        <f>((-40.8818403/(10/9))+-10.5)+-0.4</f>
        <v>-47.693656269999998</v>
      </c>
      <c r="F943" s="4">
        <f>((-0.50702244*(1.3/1.5))*0.6)-0.3</f>
        <v>-0.56365166879999995</v>
      </c>
    </row>
    <row r="944" spans="1:6" x14ac:dyDescent="0.4">
      <c r="A944" s="4">
        <v>824.47934999999995</v>
      </c>
      <c r="B944" s="4">
        <v>1.0426415</v>
      </c>
      <c r="C944" s="4">
        <v>1.0338246</v>
      </c>
      <c r="D944" s="4">
        <v>-29.769545999999998</v>
      </c>
      <c r="E944" s="4">
        <f>((-40.8611241/(10/9))+-10.5)+-0.4</f>
        <v>-47.675011689999998</v>
      </c>
      <c r="F944" s="4">
        <f>((-0.50733846*(1.3/1.5))*0.6)-0.3</f>
        <v>-0.56381599920000003</v>
      </c>
    </row>
    <row r="945" spans="1:6" x14ac:dyDescent="0.4">
      <c r="A945" s="4">
        <v>825.35427500000003</v>
      </c>
      <c r="B945" s="4">
        <v>1.0422739000000001</v>
      </c>
      <c r="C945" s="4">
        <v>1.0338833000000001</v>
      </c>
      <c r="D945" s="4">
        <v>-29.768608999999998</v>
      </c>
      <c r="E945" s="4">
        <f>((-40.7873196/(10/9))+-10.5)+-0.4</f>
        <v>-47.608587639999996</v>
      </c>
      <c r="F945" s="4">
        <f>((-0.50773031*(1.3/1.5))*0.6)-0.3</f>
        <v>-0.56401976119999997</v>
      </c>
    </row>
    <row r="946" spans="1:6" x14ac:dyDescent="0.4">
      <c r="A946" s="4">
        <v>826.22919999999999</v>
      </c>
      <c r="B946" s="4">
        <v>1.0424279999999999</v>
      </c>
      <c r="C946" s="4">
        <v>1.0338442000000001</v>
      </c>
      <c r="D946" s="4">
        <v>-29.767641999999999</v>
      </c>
      <c r="E946" s="4">
        <f>((-40.8771126/(10/9))+-10.5)+-0.4</f>
        <v>-47.689401339999996</v>
      </c>
      <c r="F946" s="4">
        <f>((-0.50810266*(1.3/1.5))*0.6)-0.3</f>
        <v>-0.56421338320000003</v>
      </c>
    </row>
    <row r="947" spans="1:6" x14ac:dyDescent="0.4">
      <c r="A947" s="4">
        <v>827.10412499999995</v>
      </c>
      <c r="B947" s="4">
        <v>1.0423161000000001</v>
      </c>
      <c r="C947" s="4">
        <v>1.0337502999999999</v>
      </c>
      <c r="D947" s="4">
        <v>-29.766113999999998</v>
      </c>
      <c r="E947" s="4">
        <f>((-40.824783/(10/9))+-10.5)+-0.4</f>
        <v>-47.642304699999997</v>
      </c>
      <c r="F947" s="4">
        <f>((-0.50839394*(1.3/1.5))*0.6)-0.3</f>
        <v>-0.56436484880000004</v>
      </c>
    </row>
    <row r="948" spans="1:6" x14ac:dyDescent="0.4">
      <c r="A948" s="4">
        <v>827.97905000000003</v>
      </c>
      <c r="B948" s="4">
        <v>1.0420605999999999</v>
      </c>
      <c r="C948" s="4">
        <v>1.0336708999999999</v>
      </c>
      <c r="D948" s="4">
        <v>-29.764762000000001</v>
      </c>
      <c r="E948" s="4">
        <f>((-40.6986669/(10/9))+-10.5)+-0.4</f>
        <v>-47.528800209999993</v>
      </c>
      <c r="F948" s="4">
        <f>((-0.50864691*(1.3/1.5))*0.6)-0.3</f>
        <v>-0.5644963932</v>
      </c>
    </row>
    <row r="949" spans="1:6" x14ac:dyDescent="0.4">
      <c r="A949" s="4">
        <v>828.85397499999999</v>
      </c>
      <c r="B949" s="4">
        <v>1.0421216</v>
      </c>
      <c r="C949" s="4">
        <v>1.0338769000000001</v>
      </c>
      <c r="D949" s="4">
        <v>-29.763742000000001</v>
      </c>
      <c r="E949" s="4">
        <f>((-40.7622645/(10/9))+-10.5)+-0.4</f>
        <v>-47.586038049999999</v>
      </c>
      <c r="F949" s="4">
        <f>((-0.50886118*(1.3/1.5))*0.6)-0.3</f>
        <v>-0.56460781360000001</v>
      </c>
    </row>
    <row r="950" spans="1:6" x14ac:dyDescent="0.4">
      <c r="A950" s="4">
        <v>829.72890000000007</v>
      </c>
      <c r="B950" s="4">
        <v>1.0422750999999999</v>
      </c>
      <c r="C950" s="4">
        <v>1.0339503000000001</v>
      </c>
      <c r="D950" s="4">
        <v>-29.762512999999998</v>
      </c>
      <c r="E950" s="4">
        <f>((-40.6293057/(10/9))+-10.5)+-0.4</f>
        <v>-47.466375130000003</v>
      </c>
      <c r="F950" s="4">
        <f>((-0.5091058*(1.3/1.5))*0.6)-0.3</f>
        <v>-0.56473501599999998</v>
      </c>
    </row>
    <row r="951" spans="1:6" x14ac:dyDescent="0.4">
      <c r="A951" s="4">
        <v>830.60382499999992</v>
      </c>
      <c r="B951" s="4">
        <v>1.0419171</v>
      </c>
      <c r="C951" s="4">
        <v>1.0340389999999999</v>
      </c>
      <c r="D951" s="4">
        <v>-29.761142</v>
      </c>
      <c r="E951" s="4">
        <f>((-40.7840409/(10/9))+-10.5)+-0.4</f>
        <v>-47.60563681</v>
      </c>
      <c r="F951" s="4">
        <f>((-0.50936371*(1.3/1.5))*0.6)-0.3</f>
        <v>-0.56486912919999999</v>
      </c>
    </row>
    <row r="952" spans="1:6" x14ac:dyDescent="0.4">
      <c r="A952" s="4">
        <v>831.47874999999999</v>
      </c>
      <c r="B952" s="4">
        <v>1.0419457000000001</v>
      </c>
      <c r="C952" s="4">
        <v>1.0339894000000001</v>
      </c>
      <c r="D952" s="4">
        <v>-29.759930999999998</v>
      </c>
      <c r="E952" s="4">
        <f>((-40.6918008/(10/9))+-10.5)+-0.4</f>
        <v>-47.522620719999999</v>
      </c>
      <c r="F952" s="4">
        <f>((-0.50963944*(1.3/1.5))*0.6)-0.3</f>
        <v>-0.56501250879999998</v>
      </c>
    </row>
    <row r="953" spans="1:6" x14ac:dyDescent="0.4">
      <c r="A953" s="4">
        <v>832.35367500000007</v>
      </c>
      <c r="B953" s="4">
        <v>1.0418596</v>
      </c>
      <c r="C953" s="4">
        <v>1.0341578</v>
      </c>
      <c r="D953" s="4">
        <v>-29.758533</v>
      </c>
      <c r="E953" s="4">
        <f>((-40.6685304/(10/9))+-10.5)+-0.4</f>
        <v>-47.501677359999995</v>
      </c>
      <c r="F953" s="4">
        <f>((-0.50991714*(1.3/1.5))*0.6)-0.3</f>
        <v>-0.56515691280000002</v>
      </c>
    </row>
    <row r="954" spans="1:6" x14ac:dyDescent="0.4">
      <c r="A954" s="4">
        <v>833.22860000000003</v>
      </c>
      <c r="B954" s="4">
        <v>1.0419499000000001</v>
      </c>
      <c r="C954" s="4">
        <v>1.0339957</v>
      </c>
      <c r="D954" s="4">
        <v>-29.756571999999998</v>
      </c>
      <c r="E954" s="4">
        <f>((-40.7616534/(10/9))+-10.5)+-0.4</f>
        <v>-47.585488059999996</v>
      </c>
      <c r="F954" s="4">
        <f>((-0.51012623*(1.3/1.5))*0.6)-0.3</f>
        <v>-0.56526563959999998</v>
      </c>
    </row>
    <row r="955" spans="1:6" x14ac:dyDescent="0.4">
      <c r="A955" s="4">
        <v>834.10352499999999</v>
      </c>
      <c r="B955" s="4">
        <v>1.0416257</v>
      </c>
      <c r="C955" s="4">
        <v>1.0340910999999999</v>
      </c>
      <c r="D955" s="4">
        <v>-29.754974000000001</v>
      </c>
      <c r="E955" s="4">
        <f>((-40.7153628/(10/9))+-10.5)+-0.4</f>
        <v>-47.543826519999996</v>
      </c>
      <c r="F955" s="4">
        <f>((-0.5103718*(1.3/1.5))*0.6)-0.3</f>
        <v>-0.56539333600000008</v>
      </c>
    </row>
    <row r="956" spans="1:6" x14ac:dyDescent="0.4">
      <c r="A956" s="4">
        <v>834.97844999999995</v>
      </c>
      <c r="B956" s="4">
        <v>1.0417449000000001</v>
      </c>
      <c r="C956" s="4">
        <v>1.0340277</v>
      </c>
      <c r="D956" s="4">
        <v>-29.753591</v>
      </c>
      <c r="E956" s="4">
        <f>((-40.6689939/(10/9))+-10.5)+-0.4</f>
        <v>-47.502094509999992</v>
      </c>
      <c r="F956" s="4">
        <f>((-0.51062006*(1.3/1.5))*0.6)-0.3</f>
        <v>-0.56552243120000001</v>
      </c>
    </row>
    <row r="957" spans="1:6" x14ac:dyDescent="0.4">
      <c r="A957" s="4">
        <v>835.85337500000003</v>
      </c>
      <c r="B957" s="4">
        <v>1.0416532999999999</v>
      </c>
      <c r="C957" s="4">
        <v>1.0343021999999999</v>
      </c>
      <c r="D957" s="4">
        <v>-29.752299000000001</v>
      </c>
      <c r="E957" s="4">
        <f>((-40.6270566/(10/9))+-10.5)+-0.4</f>
        <v>-47.464350940000003</v>
      </c>
      <c r="F957" s="4">
        <f>((-0.5108487*(1.3/1.5))*0.6)-0.3</f>
        <v>-0.565641324</v>
      </c>
    </row>
    <row r="958" spans="1:6" x14ac:dyDescent="0.4">
      <c r="A958" s="4">
        <v>836.72829999999999</v>
      </c>
      <c r="B958" s="4">
        <v>1.0417061000000001</v>
      </c>
      <c r="C958" s="4">
        <v>1.0342188999999999</v>
      </c>
      <c r="D958" s="4">
        <v>-29.750954999999998</v>
      </c>
      <c r="E958" s="4">
        <f>((-40.7122452/(10/9))+-10.5)+-0.4</f>
        <v>-47.541020679999995</v>
      </c>
      <c r="F958" s="4">
        <f>((-0.51106882*(1.3/1.5))*0.6)-0.3</f>
        <v>-0.56575578640000002</v>
      </c>
    </row>
    <row r="959" spans="1:6" x14ac:dyDescent="0.4">
      <c r="A959" s="4">
        <v>837.60322499999995</v>
      </c>
      <c r="B959" s="4">
        <v>1.0415430000000001</v>
      </c>
      <c r="C959" s="4">
        <v>1.0341544</v>
      </c>
      <c r="D959" s="4">
        <v>-29.749320000000001</v>
      </c>
      <c r="E959" s="4">
        <f>((-40.6803753/(10/9))+-10.5)+-0.4</f>
        <v>-47.512337769999995</v>
      </c>
      <c r="F959" s="4">
        <f>((-0.51127672*(1.3/1.5))*0.6)-0.3</f>
        <v>-0.56586389440000007</v>
      </c>
    </row>
    <row r="960" spans="1:6" x14ac:dyDescent="0.4">
      <c r="A960" s="4">
        <v>838.47815000000003</v>
      </c>
      <c r="B960" s="4">
        <v>1.0412904000000001</v>
      </c>
      <c r="C960" s="4">
        <v>1.0344321000000001</v>
      </c>
      <c r="D960" s="4">
        <v>-29.747813000000001</v>
      </c>
      <c r="E960" s="4">
        <f>((-40.6631466/(10/9))+-10.5)+-0.4</f>
        <v>-47.496831939999993</v>
      </c>
      <c r="F960" s="4">
        <f>((-0.51142108*(1.3/1.5))*0.6)-0.3</f>
        <v>-0.5659389615999999</v>
      </c>
    </row>
    <row r="961" spans="1:6" x14ac:dyDescent="0.4">
      <c r="A961" s="4">
        <v>839.35307499999999</v>
      </c>
      <c r="B961" s="4">
        <v>1.0413097</v>
      </c>
      <c r="C961" s="4">
        <v>1.0345742</v>
      </c>
      <c r="D961" s="4">
        <v>-29.746327999999998</v>
      </c>
      <c r="E961" s="4">
        <f>((-40.6993707/(10/9))+-10.5)+-0.4</f>
        <v>-47.52943363</v>
      </c>
      <c r="F961" s="4">
        <f>((-0.51152277*(1.3/1.5))*0.6)-0.3</f>
        <v>-0.56599184039999995</v>
      </c>
    </row>
    <row r="962" spans="1:6" x14ac:dyDescent="0.4">
      <c r="A962" s="4">
        <v>840.22799999999995</v>
      </c>
      <c r="B962" s="4">
        <v>1.0414047</v>
      </c>
      <c r="C962" s="4">
        <v>1.0345762000000001</v>
      </c>
      <c r="D962" s="4">
        <v>-29.744682000000001</v>
      </c>
      <c r="E962" s="4">
        <f>((-40.509153/(10/9))+-10.5)+-0.4</f>
        <v>-47.358237699999997</v>
      </c>
      <c r="F962" s="4">
        <f>((-0.51175833*(1.3/1.5))*0.6)-0.3</f>
        <v>-0.56611433160000002</v>
      </c>
    </row>
    <row r="963" spans="1:6" x14ac:dyDescent="0.4">
      <c r="A963" s="4">
        <v>841.10292500000003</v>
      </c>
      <c r="B963" s="4">
        <v>1.0414867000000001</v>
      </c>
      <c r="C963" s="4">
        <v>1.0346742</v>
      </c>
      <c r="D963" s="4">
        <v>-29.742701999999998</v>
      </c>
      <c r="E963" s="4">
        <f>((-40.6482705/(10/9))+-10.5)+-0.4</f>
        <v>-47.483443449999996</v>
      </c>
      <c r="F963" s="4">
        <f>((-0.51202071*(1.3/1.5))*0.6)-0.3</f>
        <v>-0.56625076920000006</v>
      </c>
    </row>
    <row r="964" spans="1:6" x14ac:dyDescent="0.4">
      <c r="A964" s="4">
        <v>841.97784999999999</v>
      </c>
      <c r="B964" s="4">
        <v>1.0413914</v>
      </c>
      <c r="C964" s="4">
        <v>1.0345736999999999</v>
      </c>
      <c r="D964" s="4">
        <v>-29.741681</v>
      </c>
      <c r="E964" s="4">
        <f>((-40.5990009/(10/9))+-10.5)+-0.4</f>
        <v>-47.439100809999999</v>
      </c>
      <c r="F964" s="4">
        <f>((-0.51223338*(1.3/1.5))*0.6)-0.3</f>
        <v>-0.56636135759999995</v>
      </c>
    </row>
    <row r="965" spans="1:6" x14ac:dyDescent="0.4">
      <c r="A965" s="4">
        <v>842.85277500000007</v>
      </c>
      <c r="B965" s="4">
        <v>1.0413858</v>
      </c>
      <c r="C965" s="4">
        <v>1.0347747</v>
      </c>
      <c r="D965" s="4">
        <v>-29.740268</v>
      </c>
      <c r="E965" s="4">
        <f>((-40.6715895/(10/9))+-10.5)+-0.4</f>
        <v>-47.504430550000002</v>
      </c>
      <c r="F965" s="4">
        <f>((-0.51241666*(1.3/1.5))*0.6)-0.3</f>
        <v>-0.56645666319999999</v>
      </c>
    </row>
    <row r="966" spans="1:6" x14ac:dyDescent="0.4">
      <c r="A966" s="4">
        <v>843.72769999999991</v>
      </c>
      <c r="B966" s="4">
        <v>1.0411505999999999</v>
      </c>
      <c r="C966" s="4">
        <v>1.0346663</v>
      </c>
      <c r="D966" s="4">
        <v>-29.738902</v>
      </c>
      <c r="E966" s="4">
        <f>((-40.6106595/(10/9))+-10.5)+-0.4</f>
        <v>-47.449593549999996</v>
      </c>
      <c r="F966" s="4">
        <f>((-0.51261699*(1.3/1.5))*0.6)-0.3</f>
        <v>-0.56656083479999997</v>
      </c>
    </row>
    <row r="967" spans="1:6" x14ac:dyDescent="0.4">
      <c r="A967" s="4">
        <v>844.60262499999999</v>
      </c>
      <c r="B967" s="4">
        <v>1.0409861</v>
      </c>
      <c r="C967" s="4">
        <v>1.03467</v>
      </c>
      <c r="D967" s="4">
        <v>-29.737835999999998</v>
      </c>
      <c r="E967" s="4">
        <f>((-40.5964872/(10/9))+-10.5)+-0.4</f>
        <v>-47.436838479999999</v>
      </c>
      <c r="F967" s="4">
        <f>((-0.51277411*(1.3/1.5))*0.6)-0.3</f>
        <v>-0.56664253719999991</v>
      </c>
    </row>
    <row r="968" spans="1:6" x14ac:dyDescent="0.4">
      <c r="A968" s="4">
        <v>845.47755000000006</v>
      </c>
      <c r="B968" s="4">
        <v>1.0410929</v>
      </c>
      <c r="C968" s="4">
        <v>1.0347744000000001</v>
      </c>
      <c r="D968" s="4">
        <v>-29.736193999999998</v>
      </c>
      <c r="E968" s="4">
        <f>((-40.5481851/(10/9))+-10.5)+-0.4</f>
        <v>-47.393366589999992</v>
      </c>
      <c r="F968" s="4">
        <f>((-0.51298922*(1.3/1.5))*0.6)-0.3</f>
        <v>-0.56675439439999997</v>
      </c>
    </row>
    <row r="969" spans="1:6" x14ac:dyDescent="0.4">
      <c r="A969" s="4">
        <v>846.35247500000003</v>
      </c>
      <c r="B969" s="4">
        <v>1.0412409</v>
      </c>
      <c r="C969" s="4">
        <v>1.0348898</v>
      </c>
      <c r="D969" s="4">
        <v>-29.734425999999999</v>
      </c>
      <c r="E969" s="4">
        <f>((-40.7206161/(10/9))+-10.5)+-0.4</f>
        <v>-47.548554490000001</v>
      </c>
      <c r="F969" s="4">
        <f>((-0.51314127*(1.3/1.5))*0.6)-0.3</f>
        <v>-0.56683346040000004</v>
      </c>
    </row>
    <row r="970" spans="1:6" x14ac:dyDescent="0.4">
      <c r="A970" s="4">
        <v>847.22739999999999</v>
      </c>
      <c r="B970" s="4">
        <v>1.0410216999999999</v>
      </c>
      <c r="C970" s="4">
        <v>1.0349748999999999</v>
      </c>
      <c r="D970" s="4">
        <v>-29.733074999999999</v>
      </c>
      <c r="E970" s="4">
        <f>((-40.5582003/(10/9))+-10.5)+-0.4</f>
        <v>-47.402380270000002</v>
      </c>
      <c r="F970" s="4">
        <f>((-0.51334715*(1.3/1.5))*0.6)-0.3</f>
        <v>-0.566940518</v>
      </c>
    </row>
    <row r="971" spans="1:6" x14ac:dyDescent="0.4">
      <c r="A971" s="4">
        <v>848.10232499999995</v>
      </c>
      <c r="B971" s="4">
        <v>1.0410025999999999</v>
      </c>
      <c r="C971" s="4">
        <v>1.0348493999999999</v>
      </c>
      <c r="D971" s="4">
        <v>-29.731286000000001</v>
      </c>
      <c r="E971" s="4">
        <f>((-40.5882234/(10/9))+-10.5)+-0.4</f>
        <v>-47.429401059999996</v>
      </c>
      <c r="F971" s="4">
        <f>((-0.51362449*(1.3/1.5))*0.6)-0.3</f>
        <v>-0.56708473479999999</v>
      </c>
    </row>
    <row r="972" spans="1:6" x14ac:dyDescent="0.4">
      <c r="A972" s="4">
        <v>848.97725000000003</v>
      </c>
      <c r="B972" s="4">
        <v>1.0408919999999999</v>
      </c>
      <c r="C972" s="4">
        <v>1.0351127</v>
      </c>
      <c r="D972" s="4">
        <v>-29.729527999999998</v>
      </c>
      <c r="E972" s="4">
        <f>((-40.5472374/(10/9))+-10.5)+-0.4</f>
        <v>-47.392513659999999</v>
      </c>
      <c r="F972" s="4">
        <f>((-0.5138334*(1.3/1.5))*0.6)-0.3</f>
        <v>-0.56719336799999998</v>
      </c>
    </row>
    <row r="973" spans="1:6" x14ac:dyDescent="0.4">
      <c r="A973" s="4">
        <v>849.8521750000001</v>
      </c>
      <c r="B973" s="4">
        <v>1.0409093</v>
      </c>
      <c r="C973" s="4">
        <v>1.0350558999999999</v>
      </c>
      <c r="D973" s="4">
        <v>-29.72804</v>
      </c>
      <c r="E973" s="4">
        <f>((-40.6088676/(10/9))+-10.5)+-0.4</f>
        <v>-47.44798084</v>
      </c>
      <c r="F973" s="4">
        <f>((-0.5139972*(1.3/1.5))*0.6)-0.3</f>
        <v>-0.567278544</v>
      </c>
    </row>
    <row r="974" spans="1:6" x14ac:dyDescent="0.4">
      <c r="A974" s="4">
        <v>850.72709999999995</v>
      </c>
      <c r="B974" s="4">
        <v>1.0410922</v>
      </c>
      <c r="C974" s="4">
        <v>1.0352851000000001</v>
      </c>
      <c r="D974" s="4">
        <v>-29.725724</v>
      </c>
      <c r="E974" s="4">
        <f>((-40.5440307/(10/9))+-10.5)+-0.4</f>
        <v>-47.38962763</v>
      </c>
      <c r="F974" s="4">
        <f>((-0.51419103*(1.3/1.5))*0.6)-0.3</f>
        <v>-0.56737933559999998</v>
      </c>
    </row>
    <row r="975" spans="1:6" x14ac:dyDescent="0.4">
      <c r="A975" s="4">
        <v>851.60202500000003</v>
      </c>
      <c r="B975" s="4">
        <v>1.04101</v>
      </c>
      <c r="C975" s="4">
        <v>1.035283</v>
      </c>
      <c r="D975" s="4">
        <v>-29.723882</v>
      </c>
      <c r="E975" s="4">
        <f>((-40.4911323/(10/9))+-10.5)+-0.4</f>
        <v>-47.342019069999992</v>
      </c>
      <c r="F975" s="4">
        <f>((-0.51438284*(1.3/1.5))*0.6)-0.3</f>
        <v>-0.56747907679999998</v>
      </c>
    </row>
    <row r="976" spans="1:6" x14ac:dyDescent="0.4">
      <c r="A976" s="4">
        <v>852.47694999999999</v>
      </c>
      <c r="B976" s="4">
        <v>1.0408436999999999</v>
      </c>
      <c r="C976" s="4">
        <v>1.0353224999999999</v>
      </c>
      <c r="D976" s="4">
        <v>-29.722704999999998</v>
      </c>
      <c r="E976" s="4">
        <f>((-40.6511172/(10/9))+-10.5)+-0.4</f>
        <v>-47.486005479999996</v>
      </c>
      <c r="F976" s="4">
        <f>((-0.51457012*(1.3/1.5))*0.6)-0.3</f>
        <v>-0.56757646239999993</v>
      </c>
    </row>
    <row r="977" spans="1:6" x14ac:dyDescent="0.4">
      <c r="A977" s="4">
        <v>853.35187499999995</v>
      </c>
      <c r="B977" s="4">
        <v>1.0407797000000001</v>
      </c>
      <c r="C977" s="4">
        <v>1.0353462</v>
      </c>
      <c r="D977" s="4">
        <v>-29.721132999999998</v>
      </c>
      <c r="E977" s="4">
        <f>((-40.4268381/(10/9))+-10.5)+-0.4</f>
        <v>-47.284154289999996</v>
      </c>
      <c r="F977" s="4">
        <f>((-0.51476592*(1.3/1.5))*0.6)-0.3</f>
        <v>-0.56767827839999996</v>
      </c>
    </row>
    <row r="978" spans="1:6" x14ac:dyDescent="0.4">
      <c r="A978" s="4">
        <v>854.22680000000003</v>
      </c>
      <c r="B978" s="4">
        <v>1.0405987999999999</v>
      </c>
      <c r="C978" s="4">
        <v>1.035169</v>
      </c>
      <c r="D978" s="4">
        <v>-29.719812000000001</v>
      </c>
      <c r="E978" s="4">
        <f>((-40.4750709/(10/9))+-10.5)+-0.4</f>
        <v>-47.327563809999994</v>
      </c>
      <c r="F978" s="4">
        <f>((-0.51505208*(1.3/1.5))*0.6)-0.3</f>
        <v>-0.56782708159999995</v>
      </c>
    </row>
    <row r="979" spans="1:6" x14ac:dyDescent="0.4">
      <c r="A979" s="4">
        <v>855.10172499999999</v>
      </c>
      <c r="B979" s="4">
        <v>1.0403557999999999</v>
      </c>
      <c r="C979" s="4">
        <v>1.0351992000000001</v>
      </c>
      <c r="D979" s="4">
        <v>-29.718225</v>
      </c>
      <c r="E979" s="4">
        <f>((-40.5412533/(10/9))+-10.5)+-0.4</f>
        <v>-47.387127969999995</v>
      </c>
      <c r="F979" s="4">
        <f>((-0.51517135*(1.3/1.5))*0.6)-0.3</f>
        <v>-0.56788910199999998</v>
      </c>
    </row>
    <row r="980" spans="1:6" x14ac:dyDescent="0.4">
      <c r="A980" s="4">
        <v>855.97665000000006</v>
      </c>
      <c r="B980" s="4">
        <v>1.0404719</v>
      </c>
      <c r="C980" s="4">
        <v>1.0354018</v>
      </c>
      <c r="D980" s="4">
        <v>-29.716511999999998</v>
      </c>
      <c r="E980" s="4">
        <f>((-40.4232912/(10/9))+-10.5)+-0.4</f>
        <v>-47.280962079999995</v>
      </c>
      <c r="F980" s="4">
        <f>((-0.51530236*(1.3/1.5))*0.6)-0.3</f>
        <v>-0.56795722719999997</v>
      </c>
    </row>
    <row r="981" spans="1:6" x14ac:dyDescent="0.4">
      <c r="A981" s="4">
        <v>856.85157499999991</v>
      </c>
      <c r="B981" s="4">
        <v>1.0405903999999999</v>
      </c>
      <c r="C981" s="4">
        <v>1.0354246</v>
      </c>
      <c r="D981" s="4">
        <v>-29.714928999999998</v>
      </c>
      <c r="E981" s="4">
        <f>((-40.535424/(10/9))+-10.5)+-0.4</f>
        <v>-47.381881599999993</v>
      </c>
      <c r="F981" s="4">
        <f>((-0.5154236*(1.3/1.5))*0.6)-0.3</f>
        <v>-0.56802027200000005</v>
      </c>
    </row>
    <row r="982" spans="1:6" x14ac:dyDescent="0.4">
      <c r="A982" s="4">
        <v>857.72649999999999</v>
      </c>
      <c r="B982" s="4">
        <v>1.0404707</v>
      </c>
      <c r="C982" s="4">
        <v>1.0355065000000001</v>
      </c>
      <c r="D982" s="4">
        <v>-29.713387999999998</v>
      </c>
      <c r="E982" s="4">
        <f>((-40.5156519/(10/9))+-10.5)+-0.4</f>
        <v>-47.364086709999995</v>
      </c>
      <c r="F982" s="4">
        <f>((-0.51556176*(1.3/1.5))*0.6)-0.3</f>
        <v>-0.56809211520000003</v>
      </c>
    </row>
    <row r="983" spans="1:6" x14ac:dyDescent="0.4">
      <c r="A983" s="4">
        <v>858.60142500000006</v>
      </c>
      <c r="B983" s="4">
        <v>1.0404936</v>
      </c>
      <c r="C983" s="4">
        <v>1.0356649</v>
      </c>
      <c r="D983" s="4">
        <v>-29.711748999999998</v>
      </c>
      <c r="E983" s="4">
        <f>((-40.5400518/(10/9))+-10.5)+-0.4</f>
        <v>-47.386046619999995</v>
      </c>
      <c r="F983" s="4">
        <f>((-0.51569903*(1.3/1.5))*0.6)-0.3</f>
        <v>-0.5681634955999999</v>
      </c>
    </row>
    <row r="984" spans="1:6" x14ac:dyDescent="0.4">
      <c r="A984" s="4">
        <v>859.47635000000002</v>
      </c>
      <c r="B984" s="4">
        <v>1.0404277</v>
      </c>
      <c r="C984" s="4">
        <v>1.0358007</v>
      </c>
      <c r="D984" s="4">
        <v>-29.710065</v>
      </c>
      <c r="E984" s="4">
        <f>((-40.3915275/(10/9))+-10.5)+-0.4</f>
        <v>-47.252374750000001</v>
      </c>
      <c r="F984" s="4">
        <f>((-0.5159083*(1.3/1.5))*0.6)-0.3</f>
        <v>-0.56827231600000006</v>
      </c>
    </row>
    <row r="985" spans="1:6" x14ac:dyDescent="0.4">
      <c r="A985" s="4">
        <v>860.35127499999999</v>
      </c>
      <c r="B985" s="4">
        <v>1.0404121</v>
      </c>
      <c r="C985" s="4">
        <v>1.0358835</v>
      </c>
      <c r="D985" s="4">
        <v>-29.709496999999999</v>
      </c>
      <c r="E985" s="4">
        <f>((-40.4060184/(10/9))+-10.5)+-0.4</f>
        <v>-47.265416559999998</v>
      </c>
      <c r="F985" s="4">
        <f>((-0.51602483*(1.3/1.5))*0.6)-0.3</f>
        <v>-0.56833291159999999</v>
      </c>
    </row>
    <row r="986" spans="1:6" x14ac:dyDescent="0.4">
      <c r="A986" s="4">
        <v>861.22619999999995</v>
      </c>
      <c r="B986" s="4">
        <v>1.0405844</v>
      </c>
      <c r="C986" s="4">
        <v>1.0357258</v>
      </c>
      <c r="D986" s="4">
        <v>-29.707923000000001</v>
      </c>
      <c r="E986" s="4">
        <f>((-40.3874379/(10/9))+-10.5)+-0.4</f>
        <v>-47.248694109999995</v>
      </c>
      <c r="F986" s="4">
        <f>((-0.51610643*(1.3/1.5))*0.6)-0.3</f>
        <v>-0.56837534359999997</v>
      </c>
    </row>
    <row r="987" spans="1:6" x14ac:dyDescent="0.4">
      <c r="A987" s="4">
        <v>862.10112500000002</v>
      </c>
      <c r="B987" s="4">
        <v>1.0403770999999999</v>
      </c>
      <c r="C987" s="4">
        <v>1.0358973</v>
      </c>
      <c r="D987" s="4">
        <v>-29.706112999999998</v>
      </c>
      <c r="E987" s="4">
        <f>((-40.386528/(10/9))+-10.5)+-0.4</f>
        <v>-47.247875199999996</v>
      </c>
      <c r="F987" s="4">
        <f>((-0.51624644*(1.3/1.5))*0.6)-0.3</f>
        <v>-0.56844814879999994</v>
      </c>
    </row>
    <row r="988" spans="1:6" x14ac:dyDescent="0.4">
      <c r="A988" s="4">
        <v>862.9760500000001</v>
      </c>
      <c r="B988" s="4">
        <v>1.0403800999999999</v>
      </c>
      <c r="C988" s="4">
        <v>1.0357969</v>
      </c>
      <c r="D988" s="4">
        <v>-29.705321999999999</v>
      </c>
      <c r="E988" s="4">
        <f>((-40.3984962/(10/9))+-10.5)+-0.4</f>
        <v>-47.258646579999997</v>
      </c>
      <c r="F988" s="4">
        <f>((-0.51638246*(1.3/1.5))*0.6)-0.3</f>
        <v>-0.56851887919999999</v>
      </c>
    </row>
    <row r="989" spans="1:6" x14ac:dyDescent="0.4">
      <c r="A989" s="4">
        <v>863.85097499999995</v>
      </c>
      <c r="B989" s="4">
        <v>1.0404381</v>
      </c>
      <c r="C989" s="4">
        <v>1.0360225000000001</v>
      </c>
      <c r="D989" s="4">
        <v>-29.703810999999998</v>
      </c>
      <c r="E989" s="4">
        <f>((-40.4683731/(10/9))+-10.5)+-0.4</f>
        <v>-47.321535789999999</v>
      </c>
      <c r="F989" s="4">
        <f>((-0.51661623*(1.3/1.5))*0.6)-0.3</f>
        <v>-0.56864043959999999</v>
      </c>
    </row>
    <row r="990" spans="1:6" x14ac:dyDescent="0.4">
      <c r="A990" s="4">
        <v>864.72590000000002</v>
      </c>
      <c r="B990" s="4">
        <v>1.0403494</v>
      </c>
      <c r="C990" s="4">
        <v>1.0361342</v>
      </c>
      <c r="D990" s="4">
        <v>-29.702361</v>
      </c>
      <c r="E990" s="4">
        <f>((-40.3403517/(10/9))+-10.5)+-0.4</f>
        <v>-47.206316529999995</v>
      </c>
      <c r="F990" s="4">
        <f>((-0.51680243*(1.3/1.5))*0.6)-0.3</f>
        <v>-0.56873726359999999</v>
      </c>
    </row>
    <row r="991" spans="1:6" x14ac:dyDescent="0.4">
      <c r="A991" s="4">
        <v>865.60082499999999</v>
      </c>
      <c r="B991" s="4">
        <v>1.0399284</v>
      </c>
      <c r="C991" s="4">
        <v>1.0364469999999999</v>
      </c>
      <c r="D991" s="4">
        <v>-29.701039999999999</v>
      </c>
      <c r="E991" s="4">
        <f>((-40.4824113/(10/9))+-10.5)+-0.4</f>
        <v>-47.33417017</v>
      </c>
      <c r="F991" s="4">
        <f>((-0.51697248*(1.3/1.5))*0.6)-0.3</f>
        <v>-0.56882568959999991</v>
      </c>
    </row>
    <row r="992" spans="1:6" x14ac:dyDescent="0.4">
      <c r="A992" s="4">
        <v>866.47574999999995</v>
      </c>
      <c r="B992" s="4">
        <v>1.0403167</v>
      </c>
      <c r="C992" s="4">
        <v>1.0365639</v>
      </c>
      <c r="D992" s="4">
        <v>-29.699672</v>
      </c>
      <c r="E992" s="4">
        <f>((-40.3722801/(10/9))+-10.5)+-0.4</f>
        <v>-47.235052089999996</v>
      </c>
      <c r="F992" s="4">
        <f>((-0.51719862*(1.3/1.5))*0.6)-0.3</f>
        <v>-0.56894328240000003</v>
      </c>
    </row>
    <row r="993" spans="1:6" x14ac:dyDescent="0.4">
      <c r="A993" s="4">
        <v>867.35067500000002</v>
      </c>
      <c r="B993" s="4">
        <v>1.0402088</v>
      </c>
      <c r="C993" s="4">
        <v>1.0362689</v>
      </c>
      <c r="D993" s="4">
        <v>-29.698429999999998</v>
      </c>
      <c r="E993" s="4">
        <f>((-40.3225227/(10/9))+-10.5)+-0.4</f>
        <v>-47.190270429999998</v>
      </c>
      <c r="F993" s="4">
        <f>((-0.5173884*(1.3/1.5))*0.6)-0.3</f>
        <v>-0.56904196800000006</v>
      </c>
    </row>
    <row r="994" spans="1:6" x14ac:dyDescent="0.4">
      <c r="A994" s="4">
        <v>868.22559999999999</v>
      </c>
      <c r="B994" s="4">
        <v>1.0394816</v>
      </c>
      <c r="C994" s="4">
        <v>1.0364302000000001</v>
      </c>
      <c r="D994" s="4">
        <v>-29.697219</v>
      </c>
      <c r="E994" s="4">
        <f>((-40.4224947/(10/9))+-10.5)+-0.4</f>
        <v>-47.280245229999998</v>
      </c>
      <c r="F994" s="4">
        <f>((-0.51761234*(1.3/1.5))*0.6)-0.3</f>
        <v>-0.5691584167999999</v>
      </c>
    </row>
    <row r="995" spans="1:6" x14ac:dyDescent="0.4">
      <c r="A995" s="4">
        <v>869.10052500000006</v>
      </c>
      <c r="B995" s="4">
        <v>1.0399623</v>
      </c>
      <c r="C995" s="4">
        <v>1.0364268000000001</v>
      </c>
      <c r="D995" s="4">
        <v>-29.695916</v>
      </c>
      <c r="E995" s="4">
        <f>((-40.3791885/(10/9))+-10.5)+-0.4</f>
        <v>-47.241269649999992</v>
      </c>
      <c r="F995" s="4">
        <f>((-0.51789451*(1.3/1.5))*0.6)-0.3</f>
        <v>-0.56930514519999997</v>
      </c>
    </row>
    <row r="996" spans="1:6" x14ac:dyDescent="0.4">
      <c r="A996" s="4">
        <v>869.97544999999991</v>
      </c>
      <c r="B996" s="4">
        <v>1.0400887000000001</v>
      </c>
      <c r="C996" s="4">
        <v>1.0366458000000001</v>
      </c>
      <c r="D996" s="4">
        <v>-29.694755000000001</v>
      </c>
      <c r="E996" s="4">
        <f>((-40.3707798/(10/9))+-10.5)+-0.4</f>
        <v>-47.23370182</v>
      </c>
      <c r="F996" s="4">
        <f>((-0.51812601*(1.3/1.5))*0.6)-0.3</f>
        <v>-0.5694255252</v>
      </c>
    </row>
    <row r="997" spans="1:6" x14ac:dyDescent="0.4">
      <c r="A997" s="4">
        <v>870.85037499999999</v>
      </c>
      <c r="B997" s="4">
        <v>1.0401061</v>
      </c>
      <c r="C997" s="4">
        <v>1.0364963</v>
      </c>
      <c r="D997" s="4">
        <v>-29.693449999999999</v>
      </c>
      <c r="E997" s="4">
        <f>((-40.3795521/(10/9))+-10.5)+-0.4</f>
        <v>-47.241596889999997</v>
      </c>
      <c r="F997" s="4">
        <f>((-0.51837134*(1.3/1.5))*0.6)-0.3</f>
        <v>-0.56955309679999999</v>
      </c>
    </row>
    <row r="998" spans="1:6" x14ac:dyDescent="0.4">
      <c r="A998" s="4">
        <v>871.72530000000006</v>
      </c>
      <c r="B998" s="4">
        <v>1.0400034</v>
      </c>
      <c r="C998" s="4">
        <v>1.0366276999999999</v>
      </c>
      <c r="D998" s="4">
        <v>-29.692133999999999</v>
      </c>
      <c r="E998" s="4">
        <f>((-40.3409691/(10/9))+-10.5)+-0.4</f>
        <v>-47.206872189999999</v>
      </c>
      <c r="F998" s="4">
        <f>((-0.51864845*(1.3/1.5))*0.6)-0.3</f>
        <v>-0.56969719399999996</v>
      </c>
    </row>
    <row r="999" spans="1:6" x14ac:dyDescent="0.4">
      <c r="A999" s="4">
        <v>872.60022500000002</v>
      </c>
      <c r="B999" s="4">
        <v>1.040006</v>
      </c>
      <c r="C999" s="4">
        <v>1.0364918000000001</v>
      </c>
      <c r="D999" s="4">
        <v>-29.691292999999998</v>
      </c>
      <c r="E999" s="4">
        <f>((-40.31991/(10/9))+-10.5)+-0.4</f>
        <v>-47.187918999999994</v>
      </c>
      <c r="F999" s="4">
        <f>((-0.51899976*(1.3/1.5))*0.6)-0.3</f>
        <v>-0.56987987520000005</v>
      </c>
    </row>
    <row r="1000" spans="1:6" x14ac:dyDescent="0.4">
      <c r="A1000" s="4">
        <v>873.47514999999999</v>
      </c>
      <c r="B1000" s="4">
        <v>1.0399069000000001</v>
      </c>
      <c r="C1000" s="4">
        <v>1.0366694999999999</v>
      </c>
      <c r="D1000" s="4">
        <v>-29.690313</v>
      </c>
      <c r="E1000" s="4">
        <f>((-40.4160786/(10/9))+-10.5)+-0.4</f>
        <v>-47.274470739999998</v>
      </c>
      <c r="F1000" s="4">
        <f>((-0.51933646*(1.3/1.5))*0.6)-0.3</f>
        <v>-0.57005495919999993</v>
      </c>
    </row>
    <row r="1001" spans="1:6" x14ac:dyDescent="0.4">
      <c r="A1001" s="4">
        <v>874.35007499999995</v>
      </c>
      <c r="B1001" s="4">
        <v>1.0399626</v>
      </c>
      <c r="C1001" s="4">
        <v>1.0367390000000001</v>
      </c>
      <c r="D1001" s="4">
        <v>-29.689087999999998</v>
      </c>
      <c r="E1001" s="4">
        <f>((-40.302243/(10/9))+-10.5)+-0.4</f>
        <v>-47.172018699999995</v>
      </c>
      <c r="F1001" s="4">
        <f>((-0.51968336*(1.3/1.5))*0.6)-0.3</f>
        <v>-0.57023534720000002</v>
      </c>
    </row>
    <row r="1002" spans="1:6" x14ac:dyDescent="0.4">
      <c r="A1002" s="4">
        <v>875.22500000000002</v>
      </c>
      <c r="B1002" s="4">
        <v>1.0401316</v>
      </c>
      <c r="C1002" s="4">
        <v>1.0366446</v>
      </c>
      <c r="D1002" s="4">
        <v>-29.688064000000001</v>
      </c>
      <c r="E1002" s="4">
        <f>((-40.3480629/(10/9))+-10.5)+-0.4</f>
        <v>-47.213256610000002</v>
      </c>
      <c r="F1002" s="4">
        <f>((-0.52000499*(1.3/1.5))*0.6)-0.3</f>
        <v>-0.5704025948</v>
      </c>
    </row>
    <row r="1003" spans="1:6" x14ac:dyDescent="0.4">
      <c r="A1003" s="4">
        <v>876.0999250000001</v>
      </c>
      <c r="B1003" s="4">
        <v>1.0397326</v>
      </c>
      <c r="C1003" s="4">
        <v>1.0369349999999999</v>
      </c>
      <c r="D1003" s="4">
        <v>-29.687034000000001</v>
      </c>
      <c r="E1003" s="4">
        <f>((-40.2557022/(10/9))+-10.5)+-0.4</f>
        <v>-47.130131980000002</v>
      </c>
      <c r="F1003" s="4">
        <f>((-0.52026647*(1.3/1.5))*0.6)-0.3</f>
        <v>-0.57053856440000006</v>
      </c>
    </row>
    <row r="1004" spans="1:6" x14ac:dyDescent="0.4">
      <c r="A1004" s="4">
        <v>876.97484999999995</v>
      </c>
      <c r="B1004" s="4">
        <v>1.0399432</v>
      </c>
      <c r="C1004" s="4">
        <v>1.0367483</v>
      </c>
      <c r="D1004" s="4">
        <v>-29.685817</v>
      </c>
      <c r="E1004" s="4">
        <f>((-40.2887745/(10/9))+-10.5)+-0.4</f>
        <v>-47.159897049999998</v>
      </c>
      <c r="F1004" s="4">
        <f>((-0.52048981*(1.3/1.5))*0.6)-0.3</f>
        <v>-0.57065470120000006</v>
      </c>
    </row>
    <row r="1005" spans="1:6" x14ac:dyDescent="0.4">
      <c r="A1005" s="4">
        <v>877.84977500000002</v>
      </c>
      <c r="B1005" s="4">
        <v>1.0397809</v>
      </c>
      <c r="C1005" s="4">
        <v>1.0370581999999999</v>
      </c>
      <c r="D1005" s="4">
        <v>-29.684464999999999</v>
      </c>
      <c r="E1005" s="4">
        <f>((-40.3027065/(10/9))+-10.5)+-0.4</f>
        <v>-47.172435849999999</v>
      </c>
      <c r="F1005" s="4">
        <f>((-0.52077222*(1.3/1.5))*0.6)-0.3</f>
        <v>-0.57080155440000002</v>
      </c>
    </row>
    <row r="1006" spans="1:6" x14ac:dyDescent="0.4">
      <c r="A1006" s="4">
        <v>878.72469999999998</v>
      </c>
      <c r="B1006" s="4">
        <v>1.0396631000000001</v>
      </c>
      <c r="C1006" s="4">
        <v>1.0370504</v>
      </c>
      <c r="D1006" s="4">
        <v>-29.683544999999999</v>
      </c>
      <c r="E1006" s="4">
        <f>((-40.3392528/(10/9))+-10.5)+-0.4</f>
        <v>-47.205327519999997</v>
      </c>
      <c r="F1006" s="4">
        <f>((-0.52107477*(1.3/1.5))*0.6)-0.3</f>
        <v>-0.57095888039999998</v>
      </c>
    </row>
    <row r="1007" spans="1:6" x14ac:dyDescent="0.4">
      <c r="A1007" s="4">
        <v>879.59962499999995</v>
      </c>
      <c r="B1007" s="4">
        <v>1.0383964000000001</v>
      </c>
      <c r="C1007" s="4">
        <v>1.0385409999999999</v>
      </c>
      <c r="D1007" s="4">
        <v>-29.682131999999999</v>
      </c>
      <c r="E1007" s="4">
        <f>((-40.2326235/(10/9))+-10.5)+-0.4</f>
        <v>-47.109361149999998</v>
      </c>
      <c r="F1007" s="4">
        <f>((-0.52144748*(1.3/1.5))*0.6)-0.3</f>
        <v>-0.57115268959999999</v>
      </c>
    </row>
    <row r="1008" spans="1:6" x14ac:dyDescent="0.4">
      <c r="A1008" s="4">
        <v>880.47455000000002</v>
      </c>
      <c r="B1008" s="4">
        <v>1.0395129999999999</v>
      </c>
      <c r="C1008" s="4">
        <v>1.0370476</v>
      </c>
      <c r="D1008" s="4">
        <v>-29.680667</v>
      </c>
      <c r="E1008" s="4">
        <f>((-40.3296192/(10/9))+-10.5)+-0.4</f>
        <v>-47.196657279999997</v>
      </c>
      <c r="F1008" s="4">
        <f>((-0.52181828*(1.3/1.5))*0.6)-0.3</f>
        <v>-0.57134550559999997</v>
      </c>
    </row>
    <row r="1009" spans="1:6" x14ac:dyDescent="0.4">
      <c r="A1009" s="4">
        <v>881.34947499999998</v>
      </c>
      <c r="B1009" s="4">
        <v>1.039655</v>
      </c>
      <c r="C1009" s="4">
        <v>1.0374368</v>
      </c>
      <c r="D1009" s="4">
        <v>-29.679351</v>
      </c>
      <c r="E1009" s="4">
        <f>((-40.2770322/(10/9))+-10.5)+-0.4</f>
        <v>-47.14932898</v>
      </c>
      <c r="F1009" s="4">
        <f>((-0.52219391*(1.3/1.5))*0.6)-0.3</f>
        <v>-0.57154083320000004</v>
      </c>
    </row>
    <row r="1010" spans="1:6" x14ac:dyDescent="0.4">
      <c r="A1010" s="4">
        <v>882.22440000000006</v>
      </c>
      <c r="B1010" s="4">
        <v>1.0396133999999999</v>
      </c>
      <c r="C1010" s="4">
        <v>1.0373441999999999</v>
      </c>
      <c r="D1010" s="4">
        <v>-29.678200999999998</v>
      </c>
      <c r="E1010" s="4">
        <f>((-40.2114411/(10/9))+-10.5)+-0.4</f>
        <v>-47.090296989999999</v>
      </c>
      <c r="F1010" s="4">
        <f>((-0.52248466*(1.3/1.5))*0.6)-0.3</f>
        <v>-0.57169202320000001</v>
      </c>
    </row>
    <row r="1011" spans="1:6" x14ac:dyDescent="0.4">
      <c r="A1011" s="4">
        <v>883.09932499999991</v>
      </c>
      <c r="B1011" s="4">
        <v>1.0397293999999999</v>
      </c>
      <c r="C1011" s="4">
        <v>1.0372787999999999</v>
      </c>
      <c r="D1011" s="4">
        <v>-29.676849000000001</v>
      </c>
      <c r="E1011" s="4">
        <f>((-40.2293484/(10/9))+-10.5)+-0.4</f>
        <v>-47.106413559999993</v>
      </c>
      <c r="F1011" s="4">
        <f>((-0.52277917*(1.3/1.5))*0.6)-0.3</f>
        <v>-0.57184516839999988</v>
      </c>
    </row>
    <row r="1012" spans="1:6" x14ac:dyDescent="0.4">
      <c r="A1012" s="4">
        <v>883.97424999999998</v>
      </c>
      <c r="B1012" s="4">
        <v>1.0395026000000001</v>
      </c>
      <c r="C1012" s="4">
        <v>1.0373744</v>
      </c>
      <c r="D1012" s="4">
        <v>-29.676338999999999</v>
      </c>
      <c r="E1012" s="4">
        <f>((-40.2092334/(10/9))+-10.5)+-0.4</f>
        <v>-47.088310059999998</v>
      </c>
      <c r="F1012" s="4">
        <f>((-0.52317673*(1.3/1.5))*0.6)-0.3</f>
        <v>-0.57205189959999991</v>
      </c>
    </row>
    <row r="1013" spans="1:6" x14ac:dyDescent="0.4">
      <c r="A1013" s="4">
        <v>884.84917500000006</v>
      </c>
      <c r="B1013" s="4">
        <v>1.0396042999999999</v>
      </c>
      <c r="C1013" s="4">
        <v>1.0375616999999999</v>
      </c>
      <c r="D1013" s="4">
        <v>-29.675498000000001</v>
      </c>
      <c r="E1013" s="4">
        <f>((-40.3059951/(10/9))+-10.5)+-0.4</f>
        <v>-47.175395589999994</v>
      </c>
      <c r="F1013" s="4">
        <f>((-0.52360642*(1.3/1.5))*0.6)-0.3</f>
        <v>-0.5722753384</v>
      </c>
    </row>
    <row r="1014" spans="1:6" x14ac:dyDescent="0.4">
      <c r="A1014" s="4">
        <v>885.72410000000002</v>
      </c>
      <c r="B1014" s="4">
        <v>1.0397478</v>
      </c>
      <c r="C1014" s="4">
        <v>1.0377578000000001</v>
      </c>
      <c r="D1014" s="4">
        <v>-29.675059999999998</v>
      </c>
      <c r="E1014" s="4">
        <f>((-40.2381/(10/9))+-10.5)+-0.4</f>
        <v>-47.114289999999997</v>
      </c>
      <c r="F1014" s="4">
        <f>((-0.52392632*(1.3/1.5))*0.6)-0.3</f>
        <v>-0.57244168639999993</v>
      </c>
    </row>
    <row r="1015" spans="1:6" x14ac:dyDescent="0.4">
      <c r="A1015" s="4">
        <v>886.59902499999998</v>
      </c>
      <c r="B1015" s="4">
        <v>1.0396909999999999</v>
      </c>
      <c r="C1015" s="4">
        <v>1.0379403</v>
      </c>
      <c r="D1015" s="4">
        <v>-29.674077</v>
      </c>
      <c r="E1015" s="4">
        <f>((-40.2407226/(10/9))+-10.5)+-0.4</f>
        <v>-47.116650339999993</v>
      </c>
      <c r="F1015" s="4">
        <f>((-0.52430224*(1.3/1.5))*0.6)-0.3</f>
        <v>-0.57263716479999993</v>
      </c>
    </row>
    <row r="1016" spans="1:6" x14ac:dyDescent="0.4">
      <c r="A1016" s="4">
        <v>887.47394999999995</v>
      </c>
      <c r="B1016" s="4">
        <v>1.0394595</v>
      </c>
      <c r="C1016" s="4">
        <v>1.0375053999999999</v>
      </c>
      <c r="D1016" s="4">
        <v>-29.672515000000001</v>
      </c>
      <c r="E1016" s="4">
        <f>((-40.1459931/(10/9))+-10.5)+-0.4</f>
        <v>-47.031393789999996</v>
      </c>
      <c r="F1016" s="4">
        <f>((-0.52467358*(1.3/1.5))*0.6)-0.3</f>
        <v>-0.57283026159999995</v>
      </c>
    </row>
    <row r="1017" spans="1:6" x14ac:dyDescent="0.4">
      <c r="A1017" s="4">
        <v>888.34887500000002</v>
      </c>
      <c r="B1017" s="4">
        <v>1.039404</v>
      </c>
      <c r="C1017" s="4">
        <v>1.0376746999999999</v>
      </c>
      <c r="D1017" s="4">
        <v>-29.671405</v>
      </c>
      <c r="E1017" s="4">
        <f>((-40.1445954/(10/9))+-10.5)+-0.4</f>
        <v>-47.030135859999994</v>
      </c>
      <c r="F1017" s="4">
        <f>((-0.52502602*(1.3/1.5))*0.6)-0.3</f>
        <v>-0.57301353039999992</v>
      </c>
    </row>
    <row r="1018" spans="1:6" x14ac:dyDescent="0.4">
      <c r="A1018" s="4">
        <v>889.2238000000001</v>
      </c>
      <c r="B1018" s="4">
        <v>1.0392842</v>
      </c>
      <c r="C1018" s="4">
        <v>1.0377997000000001</v>
      </c>
      <c r="D1018" s="4">
        <v>-29.670107999999999</v>
      </c>
      <c r="E1018" s="4">
        <f>((-40.2690987/(10/9))+-10.5)+-0.4</f>
        <v>-47.142188829999995</v>
      </c>
      <c r="F1018" s="4">
        <f>((-0.52532709*(1.3/1.5))*0.6)-0.3</f>
        <v>-0.57317008680000003</v>
      </c>
    </row>
    <row r="1019" spans="1:6" x14ac:dyDescent="0.4">
      <c r="A1019" s="4">
        <v>890.09872499999994</v>
      </c>
      <c r="B1019" s="4">
        <v>1.0393652</v>
      </c>
      <c r="C1019" s="4">
        <v>1.0378263000000001</v>
      </c>
      <c r="D1019" s="4">
        <v>-29.668927</v>
      </c>
      <c r="E1019" s="4">
        <f>((-40.2201648/(10/9))+-10.5)+-0.4</f>
        <v>-47.098148319999993</v>
      </c>
      <c r="F1019" s="4">
        <f>((-0.52581966*(1.3/1.5))*0.6)-0.3</f>
        <v>-0.57342622320000003</v>
      </c>
    </row>
    <row r="1020" spans="1:6" x14ac:dyDescent="0.4">
      <c r="A1020" s="4">
        <v>890.97365000000002</v>
      </c>
      <c r="B1020" s="4">
        <v>1.0393315999999999</v>
      </c>
      <c r="C1020" s="4">
        <v>1.0378528</v>
      </c>
      <c r="D1020" s="4">
        <v>-29.667853999999998</v>
      </c>
      <c r="E1020" s="4">
        <f>((-40.0768551/(10/9))+-10.5)+-0.4</f>
        <v>-46.96916959</v>
      </c>
      <c r="F1020" s="4">
        <f>((-0.52629995*(1.3/1.5))*0.6)-0.3</f>
        <v>-0.57367597399999992</v>
      </c>
    </row>
    <row r="1021" spans="1:6" x14ac:dyDescent="0.4">
      <c r="A1021" s="4">
        <v>891.84857499999998</v>
      </c>
      <c r="B1021" s="4">
        <v>1.0394836999999999</v>
      </c>
      <c r="C1021" s="4">
        <v>1.038265</v>
      </c>
      <c r="D1021" s="4">
        <v>-29.667089000000001</v>
      </c>
      <c r="E1021" s="4">
        <f>((-40.0896225/(10/9))+-10.5)+-0.4</f>
        <v>-46.980660249999993</v>
      </c>
      <c r="F1021" s="4">
        <f>((-0.52672076*(1.3/1.5))*0.6)-0.3</f>
        <v>-0.57389479519999997</v>
      </c>
    </row>
    <row r="1022" spans="1:6" x14ac:dyDescent="0.4">
      <c r="A1022" s="4">
        <v>892.72349999999994</v>
      </c>
      <c r="B1022" s="4">
        <v>1.0393216999999999</v>
      </c>
      <c r="C1022" s="4">
        <v>1.0381613000000001</v>
      </c>
      <c r="D1022" s="4">
        <v>-29.666090999999998</v>
      </c>
      <c r="E1022" s="4">
        <f>((-40.1013819/(10/9))+-10.5)+-0.4</f>
        <v>-46.991243709999999</v>
      </c>
      <c r="F1022" s="4">
        <f>((-0.52713138*(1.3/1.5))*0.6)-0.3</f>
        <v>-0.57410831760000003</v>
      </c>
    </row>
    <row r="1023" spans="1:6" x14ac:dyDescent="0.4">
      <c r="A1023" s="4">
        <v>893.59842500000002</v>
      </c>
      <c r="B1023" s="4">
        <v>1.0394080000000001</v>
      </c>
      <c r="C1023" s="4">
        <v>1.0381157000000001</v>
      </c>
      <c r="D1023" s="4">
        <v>-29.664966</v>
      </c>
      <c r="E1023" s="4">
        <f>((-40.1666958/(10/9))+-10.5)+-0.4</f>
        <v>-47.050026219999999</v>
      </c>
      <c r="F1023" s="4">
        <f>((-0.52750874*(1.3/1.5))*0.6)-0.3</f>
        <v>-0.57430454480000004</v>
      </c>
    </row>
    <row r="1024" spans="1:6" x14ac:dyDescent="0.4">
      <c r="A1024" s="4">
        <v>894.47334999999998</v>
      </c>
      <c r="B1024" s="4">
        <v>1.0392999999999999</v>
      </c>
      <c r="C1024" s="4">
        <v>1.0381880999999999</v>
      </c>
      <c r="D1024" s="4">
        <v>-29.664041000000001</v>
      </c>
      <c r="E1024" s="4">
        <f>((-40.0188024/(10/9))+-10.5)+-0.4</f>
        <v>-46.916922159999999</v>
      </c>
      <c r="F1024" s="4">
        <f>((-0.52788198*(1.3/1.5))*0.6)-0.3</f>
        <v>-0.57449862959999998</v>
      </c>
    </row>
    <row r="1025" spans="1:6" x14ac:dyDescent="0.4">
      <c r="A1025" s="4">
        <v>895.34827500000006</v>
      </c>
      <c r="B1025" s="4">
        <v>1.0393866</v>
      </c>
      <c r="C1025" s="4">
        <v>1.0381241999999999</v>
      </c>
      <c r="D1025" s="4">
        <v>-29.661887</v>
      </c>
      <c r="E1025" s="4">
        <f>((-40.0163031/(10/9))+-10.5)+-0.4</f>
        <v>-46.914672789999997</v>
      </c>
      <c r="F1025" s="4">
        <f>((-0.52836561*(1.3/1.5))*0.6)-0.3</f>
        <v>-0.57475011720000002</v>
      </c>
    </row>
    <row r="1026" spans="1:6" x14ac:dyDescent="0.4">
      <c r="A1026" s="4">
        <v>896.22319999999991</v>
      </c>
      <c r="B1026" s="4">
        <v>1.0391835</v>
      </c>
      <c r="C1026" s="4">
        <v>1.0383654</v>
      </c>
      <c r="D1026" s="4">
        <v>-29.660648999999999</v>
      </c>
      <c r="E1026" s="4">
        <f>((-40.1114583/(10/9))+-10.5)+-0.4</f>
        <v>-47.000312469999997</v>
      </c>
      <c r="F1026" s="4">
        <f>((-0.52879339*(1.3/1.5))*0.6)-0.3</f>
        <v>-0.57497256279999998</v>
      </c>
    </row>
    <row r="1027" spans="1:6" x14ac:dyDescent="0.4">
      <c r="A1027" s="4">
        <v>897.09812499999998</v>
      </c>
      <c r="B1027" s="4">
        <v>1.0392752000000001</v>
      </c>
      <c r="C1027" s="4">
        <v>1.0385541</v>
      </c>
      <c r="D1027" s="4">
        <v>-29.659658</v>
      </c>
      <c r="E1027" s="4">
        <f>((-40.0449942/(10/9))+-10.5)+-0.4</f>
        <v>-46.940494779999995</v>
      </c>
      <c r="F1027" s="4">
        <f>((-0.52927023*(1.3/1.5))*0.6)-0.3</f>
        <v>-0.57522051959999998</v>
      </c>
    </row>
    <row r="1028" spans="1:6" x14ac:dyDescent="0.4">
      <c r="A1028" s="4">
        <v>897.97305000000006</v>
      </c>
      <c r="B1028" s="4">
        <v>1.0393227</v>
      </c>
      <c r="C1028" s="4">
        <v>1.0385146999999999</v>
      </c>
      <c r="D1028" s="4">
        <v>-29.658538</v>
      </c>
      <c r="E1028" s="4">
        <f>((-40.01598/(10/9))+-10.5)+-0.4</f>
        <v>-46.914381999999996</v>
      </c>
      <c r="F1028" s="4">
        <f>((-0.52984542*(1.3/1.5))*0.6)-0.3</f>
        <v>-0.57551961839999999</v>
      </c>
    </row>
    <row r="1029" spans="1:6" x14ac:dyDescent="0.4">
      <c r="A1029" s="4">
        <v>898.84797500000002</v>
      </c>
      <c r="B1029" s="4">
        <v>1.0392364000000001</v>
      </c>
      <c r="C1029" s="4">
        <v>1.0386493000000001</v>
      </c>
      <c r="D1029" s="4">
        <v>-29.656962999999998</v>
      </c>
      <c r="E1029" s="4">
        <f>((-40.1415948/(10/9))+-10.5)+-0.4</f>
        <v>-47.027435319999995</v>
      </c>
      <c r="F1029" s="4">
        <f>((-0.53033882*(1.3/1.5))*0.6)-0.3</f>
        <v>-0.57577618639999995</v>
      </c>
    </row>
    <row r="1030" spans="1:6" x14ac:dyDescent="0.4">
      <c r="A1030" s="4">
        <v>899.72289999999998</v>
      </c>
      <c r="B1030" s="4">
        <v>1.0392394</v>
      </c>
      <c r="C1030" s="4">
        <v>1.0385591999999999</v>
      </c>
      <c r="D1030" s="4">
        <v>-29.655705999999999</v>
      </c>
      <c r="E1030" s="4">
        <f>((-40.0731129/(10/9))+-10.5)+-0.4</f>
        <v>-46.965801609999993</v>
      </c>
      <c r="F1030" s="4">
        <f>((-0.53077495*(1.3/1.5))*0.6)-0.3</f>
        <v>-0.57600297399999989</v>
      </c>
    </row>
    <row r="1031" spans="1:6" x14ac:dyDescent="0.4">
      <c r="A1031" s="4">
        <v>900.59782499999994</v>
      </c>
      <c r="B1031" s="4">
        <v>1.039291</v>
      </c>
      <c r="C1031" s="4">
        <v>1.0385698999999999</v>
      </c>
      <c r="D1031" s="4">
        <v>-29.654325</v>
      </c>
      <c r="E1031" s="4">
        <f>((-40.0965336/(10/9))+-10.5)+-0.4</f>
        <v>-46.986880239999998</v>
      </c>
      <c r="F1031" s="4">
        <f>((-0.53120601*(1.3/1.5))*0.6)-0.3</f>
        <v>-0.57622712519999997</v>
      </c>
    </row>
    <row r="1032" spans="1:6" x14ac:dyDescent="0.4">
      <c r="A1032" s="4">
        <v>901.47275000000002</v>
      </c>
      <c r="B1032" s="4">
        <v>1.0391166999999999</v>
      </c>
      <c r="C1032" s="4">
        <v>1.0384765</v>
      </c>
      <c r="D1032" s="4">
        <v>-29.652518000000001</v>
      </c>
      <c r="E1032" s="4">
        <f>((-39.9655566/(10/9))+-10.5)+-0.4</f>
        <v>-46.869000939999999</v>
      </c>
      <c r="F1032" s="4">
        <f>((-0.53159767*(1.3/1.5))*0.6)-0.3</f>
        <v>-0.57643078839999995</v>
      </c>
    </row>
    <row r="1033" spans="1:6" x14ac:dyDescent="0.4">
      <c r="A1033" s="4">
        <v>902.34767500000009</v>
      </c>
      <c r="B1033" s="4">
        <v>1.0389573999999999</v>
      </c>
      <c r="C1033" s="4">
        <v>1.0384709000000001</v>
      </c>
      <c r="D1033" s="4">
        <v>-29.650959999999998</v>
      </c>
      <c r="E1033" s="4">
        <f>((-39.9875877/(10/9))+-10.5)+-0.4</f>
        <v>-46.888828929999995</v>
      </c>
      <c r="F1033" s="4">
        <f>((-0.53195363*(1.3/1.5))*0.6)-0.3</f>
        <v>-0.57661588759999993</v>
      </c>
    </row>
    <row r="1034" spans="1:6" x14ac:dyDescent="0.4">
      <c r="A1034" s="4">
        <v>903.22259999999994</v>
      </c>
      <c r="B1034" s="4">
        <v>1.0389613</v>
      </c>
      <c r="C1034" s="4">
        <v>1.0387268999999999</v>
      </c>
      <c r="D1034" s="4">
        <v>-29.649425000000001</v>
      </c>
      <c r="E1034" s="4">
        <f>((-39.9736314/(10/9))+-10.5)+-0.4</f>
        <v>-46.876268259999996</v>
      </c>
      <c r="F1034" s="4">
        <f>((-0.53231645*(1.3/1.5))*0.6)-0.3</f>
        <v>-0.57680455399999997</v>
      </c>
    </row>
    <row r="1035" spans="1:6" x14ac:dyDescent="0.4">
      <c r="A1035" s="4">
        <v>904.09752500000002</v>
      </c>
      <c r="B1035" s="4">
        <v>1.0391705</v>
      </c>
      <c r="C1035" s="4">
        <v>1.0388828999999999</v>
      </c>
      <c r="D1035" s="4">
        <v>-29.648251999999999</v>
      </c>
      <c r="E1035" s="4">
        <f>((-40.1457222/(10/9))+-10.5)+-0.4</f>
        <v>-47.031149979999995</v>
      </c>
      <c r="F1035" s="4">
        <f>((-0.53277391*(1.3/1.5))*0.6)-0.3</f>
        <v>-0.57704243319999993</v>
      </c>
    </row>
    <row r="1036" spans="1:6" x14ac:dyDescent="0.4">
      <c r="A1036" s="4">
        <v>904.97244999999998</v>
      </c>
      <c r="B1036" s="4">
        <v>1.0391988000000001</v>
      </c>
      <c r="C1036" s="4">
        <v>1.0390037000000001</v>
      </c>
      <c r="D1036" s="4">
        <v>-29.646639999999998</v>
      </c>
      <c r="E1036" s="4">
        <f>((-40.047435/(10/9))+-10.5)+-0.4</f>
        <v>-46.942691499999995</v>
      </c>
      <c r="F1036" s="4">
        <f>((-0.53319699*(1.3/1.5))*0.6)-0.3</f>
        <v>-0.57726243479999995</v>
      </c>
    </row>
    <row r="1037" spans="1:6" x14ac:dyDescent="0.4">
      <c r="A1037" s="4">
        <v>905.84737500000006</v>
      </c>
      <c r="B1037" s="4">
        <v>1.0390809999999999</v>
      </c>
      <c r="C1037" s="4">
        <v>1.0392212000000001</v>
      </c>
      <c r="D1037" s="4">
        <v>-29.645405999999998</v>
      </c>
      <c r="E1037" s="4">
        <f>((-40.0231863/(10/9))+-10.5)+-0.4</f>
        <v>-46.920867669999993</v>
      </c>
      <c r="F1037" s="4">
        <f>((-0.53361768*(1.3/1.5))*0.6)-0.3</f>
        <v>-0.57748119359999994</v>
      </c>
    </row>
    <row r="1038" spans="1:6" x14ac:dyDescent="0.4">
      <c r="A1038" s="4">
        <v>906.72230000000002</v>
      </c>
      <c r="B1038" s="4">
        <v>1.0391545</v>
      </c>
      <c r="C1038" s="4">
        <v>1.0392717</v>
      </c>
      <c r="D1038" s="4">
        <v>-29.643781000000001</v>
      </c>
      <c r="E1038" s="4">
        <f>((-40.0174668/(10/9))+-10.5)+-0.4</f>
        <v>-46.915720119999996</v>
      </c>
      <c r="F1038" s="4">
        <f>((-0.5339644*(1.3/1.5))*0.6)-0.3</f>
        <v>-0.57766148799999995</v>
      </c>
    </row>
    <row r="1039" spans="1:6" x14ac:dyDescent="0.4">
      <c r="A1039" s="4">
        <v>907.59722499999998</v>
      </c>
      <c r="B1039" s="4">
        <v>1.0388341000000001</v>
      </c>
      <c r="C1039" s="4">
        <v>1.0392102999999999</v>
      </c>
      <c r="D1039" s="4">
        <v>-29.642036000000001</v>
      </c>
      <c r="E1039" s="4">
        <f>((-40.0212126/(10/9))+-10.5)+-0.4</f>
        <v>-46.919091339999994</v>
      </c>
      <c r="F1039" s="4">
        <f>((-0.53427118*(1.3/1.5))*0.6)-0.3</f>
        <v>-0.57782101359999993</v>
      </c>
    </row>
    <row r="1040" spans="1:6" x14ac:dyDescent="0.4">
      <c r="A1040" s="4">
        <v>908.47215000000006</v>
      </c>
      <c r="B1040" s="4">
        <v>1.0389527000000001</v>
      </c>
      <c r="C1040" s="4">
        <v>1.0392599</v>
      </c>
      <c r="D1040" s="4">
        <v>-29.639879999999998</v>
      </c>
      <c r="E1040" s="4">
        <f>((-40.0269285/(10/9))+-10.5)+-0.4</f>
        <v>-46.924235649999993</v>
      </c>
      <c r="F1040" s="4">
        <f>((-0.53458834*(1.3/1.5))*0.6)-0.3</f>
        <v>-0.57798593679999999</v>
      </c>
    </row>
    <row r="1041" spans="1:6" x14ac:dyDescent="0.4">
      <c r="A1041" s="4">
        <v>909.3470749999999</v>
      </c>
      <c r="B1041" s="4">
        <v>1.0390698</v>
      </c>
      <c r="C1041" s="4">
        <v>1.0392056000000001</v>
      </c>
      <c r="D1041" s="4">
        <v>-29.638456999999999</v>
      </c>
      <c r="E1041" s="4">
        <f>((-39.9860901/(10/9))+-10.5)+-0.4</f>
        <v>-46.887481089999994</v>
      </c>
      <c r="F1041" s="4">
        <f>((-0.53487098*(1.3/1.5))*0.6)-0.3</f>
        <v>-0.57813290959999997</v>
      </c>
    </row>
    <row r="1042" spans="1:6" x14ac:dyDescent="0.4">
      <c r="A1042" s="4">
        <v>910.22199999999998</v>
      </c>
      <c r="B1042" s="4">
        <v>1.0390881000000001</v>
      </c>
      <c r="C1042" s="4">
        <v>1.0392593000000001</v>
      </c>
      <c r="D1042" s="4">
        <v>-29.636751999999998</v>
      </c>
      <c r="E1042" s="4">
        <f>((-39.8406006/(10/9))+-10.5)+-0.4</f>
        <v>-46.756540539999996</v>
      </c>
      <c r="F1042" s="4">
        <f>((-0.53525186*(1.3/1.5))*0.6)-0.3</f>
        <v>-0.57833096719999999</v>
      </c>
    </row>
    <row r="1043" spans="1:6" x14ac:dyDescent="0.4">
      <c r="A1043" s="4">
        <v>911.09692500000006</v>
      </c>
      <c r="B1043" s="4">
        <v>1.0391455999999999</v>
      </c>
      <c r="C1043" s="4">
        <v>1.0394205999999999</v>
      </c>
      <c r="D1043" s="4">
        <v>-29.634802999999998</v>
      </c>
      <c r="E1043" s="4">
        <f>((-39.9250953/(10/9))+-10.5)+-0.4</f>
        <v>-46.832585770000001</v>
      </c>
      <c r="F1043" s="4">
        <f>((-0.53565538*(1.3/1.5))*0.6)-0.3</f>
        <v>-0.57854079759999999</v>
      </c>
    </row>
    <row r="1044" spans="1:6" x14ac:dyDescent="0.4">
      <c r="A1044" s="4">
        <v>911.97185000000002</v>
      </c>
      <c r="B1044" s="4">
        <v>1.0389645999999999</v>
      </c>
      <c r="C1044" s="4">
        <v>1.0394957</v>
      </c>
      <c r="D1044" s="4">
        <v>-29.632808000000001</v>
      </c>
      <c r="E1044" s="4">
        <f>((-39.8755269/(10/9))+-10.5)+-0.4</f>
        <v>-46.787974209999994</v>
      </c>
      <c r="F1044" s="4">
        <f>((-0.5360381*(1.3/1.5))*0.6)-0.3</f>
        <v>-0.57873981200000002</v>
      </c>
    </row>
    <row r="1045" spans="1:6" x14ac:dyDescent="0.4">
      <c r="A1045" s="4">
        <v>912.84677499999998</v>
      </c>
      <c r="B1045" s="4">
        <v>1.0391237</v>
      </c>
      <c r="C1045" s="4">
        <v>1.0393747</v>
      </c>
      <c r="D1045" s="4">
        <v>-29.631239999999998</v>
      </c>
      <c r="E1045" s="4">
        <f>((-39.9757392/(10/9))+-10.5)+-0.4</f>
        <v>-46.878165279999997</v>
      </c>
      <c r="F1045" s="4">
        <f>((-0.53641373*(1.3/1.5))*0.6)-0.3</f>
        <v>-0.57893513959999998</v>
      </c>
    </row>
    <row r="1046" spans="1:6" x14ac:dyDescent="0.4">
      <c r="A1046" s="4">
        <v>913.72169999999994</v>
      </c>
      <c r="B1046" s="4">
        <v>1.0389613</v>
      </c>
      <c r="C1046" s="4">
        <v>1.0396851</v>
      </c>
      <c r="D1046" s="4">
        <v>-29.629339999999999</v>
      </c>
      <c r="E1046" s="4">
        <f>((-39.9575367/(10/9))+-10.5)+-0.4</f>
        <v>-46.861783029999998</v>
      </c>
      <c r="F1046" s="4">
        <f>((-0.53669947*(1.3/1.5))*0.6)-0.3</f>
        <v>-0.5790837244</v>
      </c>
    </row>
    <row r="1047" spans="1:6" x14ac:dyDescent="0.4">
      <c r="A1047" s="4">
        <v>914.59662500000002</v>
      </c>
      <c r="B1047" s="4">
        <v>1.0390208999999999</v>
      </c>
      <c r="C1047" s="4">
        <v>1.0397110000000001</v>
      </c>
      <c r="D1047" s="4">
        <v>-29.627423</v>
      </c>
      <c r="E1047" s="4">
        <f>((-39.8824344/(10/9))+-10.5)+-0.4</f>
        <v>-46.794190959999995</v>
      </c>
      <c r="F1047" s="4">
        <f>((-0.53702962*(1.3/1.5))*0.6)-0.3</f>
        <v>-0.57925540240000006</v>
      </c>
    </row>
    <row r="1048" spans="1:6" x14ac:dyDescent="0.4">
      <c r="A1048" s="4">
        <v>915.47155000000009</v>
      </c>
      <c r="B1048" s="4">
        <v>1.039107</v>
      </c>
      <c r="C1048" s="4">
        <v>1.0396491999999999</v>
      </c>
      <c r="D1048" s="4">
        <v>-29.625941000000001</v>
      </c>
      <c r="E1048" s="4">
        <f>((-39.9106008/(10/9))+-10.5)+-0.4</f>
        <v>-46.819540719999992</v>
      </c>
      <c r="F1048" s="4">
        <f>((-0.53738952*(1.3/1.5))*0.6)-0.3</f>
        <v>-0.57944255040000003</v>
      </c>
    </row>
    <row r="1049" spans="1:6" x14ac:dyDescent="0.4">
      <c r="A1049" s="4">
        <v>916.34647499999994</v>
      </c>
      <c r="B1049" s="4">
        <v>1.0390537</v>
      </c>
      <c r="C1049" s="4">
        <v>1.0398301000000001</v>
      </c>
      <c r="D1049" s="4">
        <v>-29.624419</v>
      </c>
      <c r="E1049" s="4">
        <f>((-39.8984571/(10/9))+-10.5)+-0.4</f>
        <v>-46.808611389999996</v>
      </c>
      <c r="F1049" s="4">
        <f>((-0.53773659*(1.3/1.5))*0.6)-0.3</f>
        <v>-0.5796230268</v>
      </c>
    </row>
    <row r="1050" spans="1:6" x14ac:dyDescent="0.4">
      <c r="A1050" s="4">
        <v>917.22140000000002</v>
      </c>
      <c r="B1050" s="4">
        <v>1.0388671</v>
      </c>
      <c r="C1050" s="4">
        <v>1.0398352</v>
      </c>
      <c r="D1050" s="4">
        <v>-29.622854999999998</v>
      </c>
      <c r="E1050" s="4">
        <f>((-40.0056633/(10/9))+-10.5)+-0.4</f>
        <v>-46.905096969999995</v>
      </c>
      <c r="F1050" s="4">
        <f>((-0.53810453*(1.3/1.5))*0.6)-0.3</f>
        <v>-0.57981435559999994</v>
      </c>
    </row>
    <row r="1051" spans="1:6" x14ac:dyDescent="0.4">
      <c r="A1051" s="4">
        <v>918.09632499999998</v>
      </c>
      <c r="B1051" s="4">
        <v>1.0387614000000001</v>
      </c>
      <c r="C1051" s="4">
        <v>1.0399780000000001</v>
      </c>
      <c r="D1051" s="4">
        <v>-29.621109999999998</v>
      </c>
      <c r="E1051" s="4">
        <f>((-39.9101643/(10/9))+-10.5)+-0.4</f>
        <v>-46.819147869999995</v>
      </c>
      <c r="F1051" s="4">
        <f>((-0.53848183*(1.3/1.5))*0.6)-0.3</f>
        <v>-0.58001055160000003</v>
      </c>
    </row>
    <row r="1052" spans="1:6" x14ac:dyDescent="0.4">
      <c r="A1052" s="4">
        <v>918.97125000000005</v>
      </c>
      <c r="B1052" s="4">
        <v>1.0389971</v>
      </c>
      <c r="C1052" s="4">
        <v>1.0402802</v>
      </c>
      <c r="D1052" s="4">
        <v>-29.618987000000001</v>
      </c>
      <c r="E1052" s="4">
        <f>((-39.8990997/(10/9))+-10.5)+-0.4</f>
        <v>-46.80918973</v>
      </c>
      <c r="F1052" s="4">
        <f>((-0.53877497*(1.3/1.5))*0.6)-0.3</f>
        <v>-0.58016298440000003</v>
      </c>
    </row>
    <row r="1053" spans="1:6" x14ac:dyDescent="0.4">
      <c r="A1053" s="4">
        <v>919.84617500000002</v>
      </c>
      <c r="B1053" s="4">
        <v>1.0388721000000001</v>
      </c>
      <c r="C1053" s="4">
        <v>1.0401887000000001</v>
      </c>
      <c r="D1053" s="4">
        <v>-29.616941000000001</v>
      </c>
      <c r="E1053" s="4">
        <f>((-39.8757501/(10/9))+-10.5)+-0.4</f>
        <v>-46.788175089999996</v>
      </c>
      <c r="F1053" s="4">
        <f>((-0.53905314*(1.3/1.5))*0.6)-0.3</f>
        <v>-0.58030763279999997</v>
      </c>
    </row>
    <row r="1054" spans="1:6" x14ac:dyDescent="0.4">
      <c r="A1054" s="4">
        <v>920.72109999999998</v>
      </c>
      <c r="B1054" s="4">
        <v>1.0386723</v>
      </c>
      <c r="C1054" s="4">
        <v>1.0400351999999999</v>
      </c>
      <c r="D1054" s="4">
        <v>-29.614851999999999</v>
      </c>
      <c r="E1054" s="4">
        <f>((-39.9153663/(10/9))+-10.5)+-0.4</f>
        <v>-46.823829670000002</v>
      </c>
      <c r="F1054" s="4">
        <f>((-0.53933561*(1.3/1.5))*0.6)-0.3</f>
        <v>-0.58045451719999996</v>
      </c>
    </row>
    <row r="1055" spans="1:6" x14ac:dyDescent="0.4">
      <c r="A1055" s="4">
        <v>921.59602500000005</v>
      </c>
      <c r="B1055" s="4">
        <v>1.0387721000000001</v>
      </c>
      <c r="C1055" s="4">
        <v>1.0402153000000001</v>
      </c>
      <c r="D1055" s="4">
        <v>-29.612991000000001</v>
      </c>
      <c r="E1055" s="4">
        <f>((-39.9023127/(10/9))+-10.5)+-0.4</f>
        <v>-46.812081429999999</v>
      </c>
      <c r="F1055" s="4">
        <f>((-0.53963137*(1.3/1.5))*0.6)-0.3</f>
        <v>-0.58060831239999999</v>
      </c>
    </row>
    <row r="1056" spans="1:6" x14ac:dyDescent="0.4">
      <c r="A1056" s="4">
        <v>922.4709499999999</v>
      </c>
      <c r="B1056" s="4">
        <v>1.0386491</v>
      </c>
      <c r="C1056" s="4">
        <v>1.040273</v>
      </c>
      <c r="D1056" s="4">
        <v>-29.611090999999998</v>
      </c>
      <c r="E1056" s="4">
        <f>((-39.860064/(10/9))+-10.5)+-0.4</f>
        <v>-46.774057599999999</v>
      </c>
      <c r="F1056" s="4">
        <f>((-0.53990781*(1.3/1.5))*0.6)-0.3</f>
        <v>-0.5807520612</v>
      </c>
    </row>
    <row r="1057" spans="1:6" x14ac:dyDescent="0.4">
      <c r="A1057" s="4">
        <v>923.34587499999998</v>
      </c>
      <c r="B1057" s="4">
        <v>1.0387267</v>
      </c>
      <c r="C1057" s="4">
        <v>1.0402714</v>
      </c>
      <c r="D1057" s="4">
        <v>-29.609394999999999</v>
      </c>
      <c r="E1057" s="4">
        <f>((-39.8240973/(10/9))+-10.5)+-0.4</f>
        <v>-46.741687569999996</v>
      </c>
      <c r="F1057" s="4">
        <f>((-0.54017264*(1.3/1.5))*0.6)-0.3</f>
        <v>-0.58088977279999998</v>
      </c>
    </row>
    <row r="1058" spans="1:6" x14ac:dyDescent="0.4">
      <c r="A1058" s="4">
        <v>924.22080000000005</v>
      </c>
      <c r="B1058" s="4">
        <v>1.0387740000000001</v>
      </c>
      <c r="C1058" s="4">
        <v>1.0404296</v>
      </c>
      <c r="D1058" s="4">
        <v>-29.607406000000001</v>
      </c>
      <c r="E1058" s="4">
        <f>((-39.8280141/(10/9))+-10.5)+-0.4</f>
        <v>-46.745212689999995</v>
      </c>
      <c r="F1058" s="4">
        <f>((-0.54044628*(1.3/1.5))*0.6)-0.3</f>
        <v>-0.58103206559999987</v>
      </c>
    </row>
    <row r="1059" spans="1:6" x14ac:dyDescent="0.4">
      <c r="A1059" s="4">
        <v>925.09572500000002</v>
      </c>
      <c r="B1059" s="4">
        <v>1.0388052000000001</v>
      </c>
      <c r="C1059" s="4">
        <v>1.0406407</v>
      </c>
      <c r="D1059" s="4">
        <v>-29.605526999999999</v>
      </c>
      <c r="E1059" s="4">
        <f>((-39.8356947/(10/9))+-10.5)+-0.4</f>
        <v>-46.752125229999997</v>
      </c>
      <c r="F1059" s="4">
        <f>((-0.54068214*(1.3/1.5))*0.6)-0.3</f>
        <v>-0.58115471280000008</v>
      </c>
    </row>
    <row r="1060" spans="1:6" x14ac:dyDescent="0.4">
      <c r="A1060" s="4">
        <v>925.97064999999998</v>
      </c>
      <c r="B1060" s="4">
        <v>1.0386329000000001</v>
      </c>
      <c r="C1060" s="4">
        <v>1.0406759999999999</v>
      </c>
      <c r="D1060" s="4">
        <v>-29.603822000000001</v>
      </c>
      <c r="E1060" s="4">
        <f>((-39.8556171/(10/9))+-10.5)+-0.4</f>
        <v>-46.770055390000003</v>
      </c>
      <c r="F1060" s="4">
        <f>((-0.54087383*(1.3/1.5))*0.6)-0.3</f>
        <v>-0.58125439159999992</v>
      </c>
    </row>
    <row r="1061" spans="1:6" x14ac:dyDescent="0.4">
      <c r="A1061" s="4">
        <v>926.84557499999994</v>
      </c>
      <c r="B1061" s="4">
        <v>1.0385447000000001</v>
      </c>
      <c r="C1061" s="4">
        <v>1.0405807</v>
      </c>
      <c r="D1061" s="4">
        <v>-29.601559999999999</v>
      </c>
      <c r="E1061" s="4">
        <f>((-39.8471958/(10/9))+-10.5)+-0.4</f>
        <v>-46.762476219999996</v>
      </c>
      <c r="F1061" s="4">
        <f>((-0.54105079*(1.3/1.5))*0.6)-0.3</f>
        <v>-0.58134641079999994</v>
      </c>
    </row>
    <row r="1062" spans="1:6" x14ac:dyDescent="0.4">
      <c r="A1062" s="4">
        <v>927.72050000000002</v>
      </c>
      <c r="B1062" s="4">
        <v>1.0384857999999999</v>
      </c>
      <c r="C1062" s="4">
        <v>1.0405939</v>
      </c>
      <c r="D1062" s="4">
        <v>-29.599083999999998</v>
      </c>
      <c r="E1062" s="4">
        <f>((-39.8666214/(10/9))+-10.5)+-0.4</f>
        <v>-46.779959259999998</v>
      </c>
      <c r="F1062" s="4">
        <f>((-0.54128635*(1.3/1.5))*0.6)-0.3</f>
        <v>-0.58146890200000001</v>
      </c>
    </row>
    <row r="1063" spans="1:6" x14ac:dyDescent="0.4">
      <c r="A1063" s="4">
        <v>928.59542500000009</v>
      </c>
      <c r="B1063" s="4">
        <v>1.0386451000000001</v>
      </c>
      <c r="C1063" s="4">
        <v>1.0406263</v>
      </c>
      <c r="D1063" s="4">
        <v>-29.597532000000001</v>
      </c>
      <c r="E1063" s="4">
        <f>((-39.8357424/(10/9))+-10.5)+-0.4</f>
        <v>-46.752168159999997</v>
      </c>
      <c r="F1063" s="4">
        <f>((-0.54152226*(1.3/1.5))*0.6)-0.3</f>
        <v>-0.58159157520000004</v>
      </c>
    </row>
    <row r="1064" spans="1:6" x14ac:dyDescent="0.4">
      <c r="A1064" s="4">
        <v>929.47034999999994</v>
      </c>
      <c r="B1064" s="4">
        <v>1.0387506</v>
      </c>
      <c r="C1064" s="4">
        <v>1.0408219999999999</v>
      </c>
      <c r="D1064" s="4">
        <v>-29.595873999999998</v>
      </c>
      <c r="E1064" s="4">
        <f>((-39.7855629/(10/9))+-10.5)+-0.4</f>
        <v>-46.707006610000001</v>
      </c>
      <c r="F1064" s="4">
        <f>((-0.54181981*(1.3/1.5))*0.6)-0.3</f>
        <v>-0.58174630119999993</v>
      </c>
    </row>
    <row r="1065" spans="1:6" x14ac:dyDescent="0.4">
      <c r="A1065" s="4">
        <v>930.34527500000002</v>
      </c>
      <c r="B1065" s="4">
        <v>1.0385953999999999</v>
      </c>
      <c r="C1065" s="4">
        <v>1.0410792</v>
      </c>
      <c r="D1065" s="4">
        <v>-29.593731999999999</v>
      </c>
      <c r="E1065" s="4">
        <f>((-39.805362/(10/9))+-10.5)+-0.4</f>
        <v>-46.724825799999998</v>
      </c>
      <c r="F1065" s="4">
        <f>((-0.54204297*(1.3/1.5))*0.6)-0.3</f>
        <v>-0.58186234439999995</v>
      </c>
    </row>
    <row r="1066" spans="1:6" x14ac:dyDescent="0.4">
      <c r="A1066" s="4">
        <v>931.22019999999998</v>
      </c>
      <c r="B1066" s="4">
        <v>1.0385329999999999</v>
      </c>
      <c r="C1066" s="4">
        <v>1.0409777</v>
      </c>
      <c r="D1066" s="4">
        <v>-29.591889999999999</v>
      </c>
      <c r="E1066" s="4">
        <f>((-39.8595312/(10/9))+-10.5)+-0.4</f>
        <v>-46.773578079999993</v>
      </c>
      <c r="F1066" s="4">
        <f>((-0.54233056*(1.3/1.5))*0.6)-0.3</f>
        <v>-0.58201189120000008</v>
      </c>
    </row>
    <row r="1067" spans="1:6" x14ac:dyDescent="0.4">
      <c r="A1067" s="4">
        <v>932.09512500000005</v>
      </c>
      <c r="B1067" s="4">
        <v>1.0383365</v>
      </c>
      <c r="C1067" s="4">
        <v>1.0408063999999999</v>
      </c>
      <c r="D1067" s="4">
        <v>-29.589739999999999</v>
      </c>
      <c r="E1067" s="4">
        <f>((-39.729258/(10/9))+-10.5)+-0.4</f>
        <v>-46.656332200000001</v>
      </c>
      <c r="F1067" s="4">
        <f>((-0.54257149*(1.3/1.5))*0.6)-0.3</f>
        <v>-0.58213717479999993</v>
      </c>
    </row>
    <row r="1068" spans="1:6" x14ac:dyDescent="0.4">
      <c r="A1068" s="4">
        <v>932.97005000000001</v>
      </c>
      <c r="B1068" s="4">
        <v>1.0383998000000001</v>
      </c>
      <c r="C1068" s="4">
        <v>1.0410524999999999</v>
      </c>
      <c r="D1068" s="4">
        <v>-29.587776999999999</v>
      </c>
      <c r="E1068" s="4">
        <f>((-39.7331541/(10/9))+-10.5)+-0.4</f>
        <v>-46.659838689999994</v>
      </c>
      <c r="F1068" s="4">
        <f>((-0.54269183*(1.3/1.5))*0.6)-0.3</f>
        <v>-0.58219975159999993</v>
      </c>
    </row>
    <row r="1069" spans="1:6" x14ac:dyDescent="0.4">
      <c r="A1069" s="4">
        <v>933.84497499999998</v>
      </c>
      <c r="B1069" s="4">
        <v>1.0386628</v>
      </c>
      <c r="C1069" s="4">
        <v>1.0411360999999999</v>
      </c>
      <c r="D1069" s="4">
        <v>-29.585988</v>
      </c>
      <c r="E1069" s="4">
        <f>((-39.8403126/(10/9))+-10.5)+-0.4</f>
        <v>-46.756281339999994</v>
      </c>
      <c r="F1069" s="4">
        <f>((-0.54283524*(1.3/1.5))*0.6)-0.3</f>
        <v>-0.58227432479999996</v>
      </c>
    </row>
    <row r="1070" spans="1:6" x14ac:dyDescent="0.4">
      <c r="A1070" s="4">
        <v>934.71990000000005</v>
      </c>
      <c r="B1070" s="4">
        <v>1.0384234999999999</v>
      </c>
      <c r="C1070" s="4">
        <v>1.0412207</v>
      </c>
      <c r="D1070" s="4">
        <v>-29.583645999999998</v>
      </c>
      <c r="E1070" s="4">
        <f>((-39.8483154/(10/9))+-10.5)+-0.4</f>
        <v>-46.763483859999994</v>
      </c>
      <c r="F1070" s="4">
        <f>((-0.54299319*(1.3/1.5))*0.6)-0.3</f>
        <v>-0.58235645879999998</v>
      </c>
    </row>
    <row r="1071" spans="1:6" x14ac:dyDescent="0.4">
      <c r="A1071" s="4">
        <v>935.5948249999999</v>
      </c>
      <c r="B1071" s="4">
        <v>1.0383081000000001</v>
      </c>
      <c r="C1071" s="4">
        <v>1.0411976999999999</v>
      </c>
      <c r="D1071" s="4">
        <v>-29.581329</v>
      </c>
      <c r="E1071" s="4">
        <f>((-39.7053108/(10/9))+-10.5)+-0.4</f>
        <v>-46.634779719999997</v>
      </c>
      <c r="F1071" s="4">
        <f>((-0.54324347*(1.3/1.5))*0.6)-0.3</f>
        <v>-0.58248660439999989</v>
      </c>
    </row>
    <row r="1072" spans="1:6" x14ac:dyDescent="0.4">
      <c r="A1072" s="4">
        <v>936.46974999999998</v>
      </c>
      <c r="B1072" s="4">
        <v>1.0384274</v>
      </c>
      <c r="C1072" s="4">
        <v>1.0411896</v>
      </c>
      <c r="D1072" s="4">
        <v>-29.579491999999998</v>
      </c>
      <c r="E1072" s="4">
        <f>((-39.7440513/(10/9))+-10.5)+-0.4</f>
        <v>-46.66964617</v>
      </c>
      <c r="F1072" s="4">
        <f>((-0.54352289*(1.3/1.5))*0.6)-0.3</f>
        <v>-0.58263190279999999</v>
      </c>
    </row>
    <row r="1073" spans="1:6" x14ac:dyDescent="0.4">
      <c r="A1073" s="4">
        <v>937.34467500000005</v>
      </c>
      <c r="B1073" s="4">
        <v>1.0384637999999999</v>
      </c>
      <c r="C1073" s="4">
        <v>1.0415657</v>
      </c>
      <c r="D1073" s="4">
        <v>-29.577634</v>
      </c>
      <c r="E1073" s="4">
        <f>((-39.6439452/(10/9))+-10.5)+-0.4</f>
        <v>-46.579550679999997</v>
      </c>
      <c r="F1073" s="4">
        <f>((-0.54376483*(1.3/1.5))*0.6)-0.3</f>
        <v>-0.58275771160000001</v>
      </c>
    </row>
    <row r="1074" spans="1:6" x14ac:dyDescent="0.4">
      <c r="A1074" s="4">
        <v>938.21960000000001</v>
      </c>
      <c r="B1074" s="4">
        <v>1.0384179</v>
      </c>
      <c r="C1074" s="4">
        <v>1.0412600000000001</v>
      </c>
      <c r="D1074" s="4">
        <v>-29.575735999999999</v>
      </c>
      <c r="E1074" s="4">
        <f>((-39.7759527/(10/9))+-10.5)+-0.4</f>
        <v>-46.698357429999994</v>
      </c>
      <c r="F1074" s="4">
        <f>((-0.54403245*(1.3/1.5))*0.6)-0.3</f>
        <v>-0.58289687400000001</v>
      </c>
    </row>
    <row r="1075" spans="1:6" x14ac:dyDescent="0.4">
      <c r="A1075" s="4">
        <v>939.09452499999998</v>
      </c>
      <c r="B1075" s="4">
        <v>1.0381777999999999</v>
      </c>
      <c r="C1075" s="4">
        <v>1.0412261</v>
      </c>
      <c r="D1075" s="4">
        <v>-29.573467999999998</v>
      </c>
      <c r="E1075" s="4">
        <f>((-39.7747683/(10/9))+-10.5)+-0.4</f>
        <v>-46.697291469999996</v>
      </c>
      <c r="F1075" s="4">
        <f>((-0.54416639*(1.3/1.5))*0.6)-0.3</f>
        <v>-0.58296652280000005</v>
      </c>
    </row>
    <row r="1076" spans="1:6" x14ac:dyDescent="0.4">
      <c r="A1076" s="4">
        <v>939.96944999999994</v>
      </c>
      <c r="B1076" s="4">
        <v>1.0383788</v>
      </c>
      <c r="C1076" s="4">
        <v>1.0413771000000001</v>
      </c>
      <c r="D1076" s="4">
        <v>-29.571394999999999</v>
      </c>
      <c r="E1076" s="4">
        <f>((-39.6110484/(10/9))+-10.5)+-0.4</f>
        <v>-46.549943559999996</v>
      </c>
      <c r="F1076" s="4">
        <f>((-0.54432726*(1.3/1.5))*0.6)-0.3</f>
        <v>-0.58305017519999991</v>
      </c>
    </row>
    <row r="1077" spans="1:6" x14ac:dyDescent="0.4">
      <c r="A1077" s="4">
        <v>940.84437500000001</v>
      </c>
      <c r="B1077" s="4">
        <v>1.0383340000000001</v>
      </c>
      <c r="C1077" s="4">
        <v>1.0414535</v>
      </c>
      <c r="D1077" s="4">
        <v>-29.569262999999999</v>
      </c>
      <c r="E1077" s="4">
        <f>((-39.753486/(10/9))+-10.5)+-0.4</f>
        <v>-46.678137399999997</v>
      </c>
      <c r="F1077" s="4">
        <f>((-0.54451352*(1.3/1.5))*0.6)-0.3</f>
        <v>-0.58314703039999993</v>
      </c>
    </row>
    <row r="1078" spans="1:6" x14ac:dyDescent="0.4">
      <c r="A1078" s="4">
        <v>941.71930000000009</v>
      </c>
      <c r="B1078" s="4">
        <v>1.0382334</v>
      </c>
      <c r="C1078" s="4">
        <v>1.0414445000000001</v>
      </c>
      <c r="D1078" s="4">
        <v>-29.567436999999998</v>
      </c>
      <c r="E1078" s="4">
        <f>((-39.756627/(10/9))+-10.5)+-0.4</f>
        <v>-46.680964299999999</v>
      </c>
      <c r="F1078" s="4">
        <f>((-0.5446865*(1.3/1.5))*0.6)-0.3</f>
        <v>-0.5832369799999999</v>
      </c>
    </row>
    <row r="1079" spans="1:6" x14ac:dyDescent="0.4">
      <c r="A1079" s="4">
        <v>942.59422499999994</v>
      </c>
      <c r="B1079" s="4">
        <v>1.0381431999999999</v>
      </c>
      <c r="C1079" s="4">
        <v>1.0418482</v>
      </c>
      <c r="D1079" s="4">
        <v>-29.565227</v>
      </c>
      <c r="E1079" s="4">
        <f>((-39.6544374/(10/9))+-10.5)+-0.4</f>
        <v>-46.588993659999993</v>
      </c>
      <c r="F1079" s="4">
        <f>((-0.5448547*(1.3/1.5))*0.6)-0.3</f>
        <v>-0.58332444400000005</v>
      </c>
    </row>
    <row r="1080" spans="1:6" x14ac:dyDescent="0.4">
      <c r="A1080" s="4">
        <v>943.46915000000001</v>
      </c>
      <c r="B1080" s="4">
        <v>1.038238</v>
      </c>
      <c r="C1080" s="4">
        <v>1.0416304999999999</v>
      </c>
      <c r="D1080" s="4">
        <v>-29.563510000000001</v>
      </c>
      <c r="E1080" s="4">
        <f>((-39.6675072/(10/9))+-10.5)+-0.4</f>
        <v>-46.600756480000001</v>
      </c>
      <c r="F1080" s="4">
        <f>((-0.54509109*(1.3/1.5))*0.6)-0.3</f>
        <v>-0.58344736679999998</v>
      </c>
    </row>
    <row r="1081" spans="1:6" x14ac:dyDescent="0.4">
      <c r="A1081" s="4">
        <v>944.34407499999998</v>
      </c>
      <c r="B1081" s="4">
        <v>1.0381662</v>
      </c>
      <c r="C1081" s="4">
        <v>1.0415757999999999</v>
      </c>
      <c r="D1081" s="4">
        <v>-29.561630999999998</v>
      </c>
      <c r="E1081" s="4">
        <f>((-39.6717651/(10/9))+-10.5)+-0.4</f>
        <v>-46.604588589999999</v>
      </c>
      <c r="F1081" s="4">
        <f>((-0.54533416*(1.3/1.5))*0.6)-0.3</f>
        <v>-0.58357376319999998</v>
      </c>
    </row>
    <row r="1082" spans="1:6" x14ac:dyDescent="0.4">
      <c r="A1082" s="4">
        <v>945.21900000000005</v>
      </c>
      <c r="B1082" s="4">
        <v>1.0382144</v>
      </c>
      <c r="C1082" s="4">
        <v>1.0417689999999999</v>
      </c>
      <c r="D1082" s="4">
        <v>-29.559521999999998</v>
      </c>
      <c r="E1082" s="4">
        <f>((-39.6205749/(10/9))+-10.5)+-0.4</f>
        <v>-46.55851741</v>
      </c>
      <c r="F1082" s="4">
        <f>((-0.54553807*(1.3/1.5))*0.6)-0.3</f>
        <v>-0.58367979640000001</v>
      </c>
    </row>
    <row r="1083" spans="1:6" x14ac:dyDescent="0.4">
      <c r="A1083" s="4">
        <v>946.09392500000001</v>
      </c>
      <c r="B1083" s="4">
        <v>1.0379769000000001</v>
      </c>
      <c r="C1083" s="4">
        <v>1.0417714</v>
      </c>
      <c r="D1083" s="4">
        <v>-29.558199999999999</v>
      </c>
      <c r="E1083" s="4">
        <f>((-39.7129707/(10/9))+-10.5)+-0.4</f>
        <v>-46.64167363</v>
      </c>
      <c r="F1083" s="4">
        <f>((-0.54570216*(1.3/1.5))*0.6)-0.3</f>
        <v>-0.58376512320000007</v>
      </c>
    </row>
    <row r="1084" spans="1:6" x14ac:dyDescent="0.4">
      <c r="A1084" s="4">
        <v>946.96884999999997</v>
      </c>
      <c r="B1084" s="4">
        <v>1.0380529999999999</v>
      </c>
      <c r="C1084" s="4">
        <v>1.0418212</v>
      </c>
      <c r="D1084" s="4">
        <v>-29.556850000000001</v>
      </c>
      <c r="E1084" s="4">
        <f>((-39.6598923/(10/9))+-10.5)+-0.4</f>
        <v>-46.593903069999996</v>
      </c>
      <c r="F1084" s="4">
        <f>((-0.54586411*(1.3/1.5))*0.6)-0.3</f>
        <v>-0.58384933719999998</v>
      </c>
    </row>
    <row r="1085" spans="1:6" x14ac:dyDescent="0.4">
      <c r="A1085" s="4">
        <v>947.84377500000005</v>
      </c>
      <c r="B1085" s="4">
        <v>1.0380575999999999</v>
      </c>
      <c r="C1085" s="4">
        <v>1.0420871</v>
      </c>
      <c r="D1085" s="4">
        <v>-29.555066</v>
      </c>
      <c r="E1085" s="4">
        <f>((-39.6915435/(10/9))+-10.5)+-0.4</f>
        <v>-46.622389149999997</v>
      </c>
      <c r="F1085" s="4">
        <f>((-0.54602486*(1.3/1.5))*0.6)-0.3</f>
        <v>-0.58393292720000001</v>
      </c>
    </row>
    <row r="1086" spans="1:6" x14ac:dyDescent="0.4">
      <c r="A1086" s="4">
        <v>948.7186999999999</v>
      </c>
      <c r="B1086" s="4">
        <v>1.037768</v>
      </c>
      <c r="C1086" s="4">
        <v>1.0419236000000001</v>
      </c>
      <c r="D1086" s="4">
        <v>-29.553003999999998</v>
      </c>
      <c r="E1086" s="4">
        <f>((-39.6292275/(10/9))+-10.5)+-0.4</f>
        <v>-46.566304749999993</v>
      </c>
      <c r="F1086" s="4">
        <f>((-0.54621559*(1.3/1.5))*0.6)-0.3</f>
        <v>-0.58403210679999995</v>
      </c>
    </row>
    <row r="1087" spans="1:6" x14ac:dyDescent="0.4">
      <c r="A1087" s="4">
        <v>949.59362499999997</v>
      </c>
      <c r="B1087" s="4">
        <v>1.0379130999999999</v>
      </c>
      <c r="C1087" s="4">
        <v>1.0419852999999999</v>
      </c>
      <c r="D1087" s="4">
        <v>-29.551054999999998</v>
      </c>
      <c r="E1087" s="4">
        <f>((-39.6417033/(10/9))+-10.5)+-0.4</f>
        <v>-46.57753297</v>
      </c>
      <c r="F1087" s="4">
        <f>((-0.54636925*(1.3/1.5))*0.6)-0.3</f>
        <v>-0.58411201000000001</v>
      </c>
    </row>
    <row r="1088" spans="1:6" x14ac:dyDescent="0.4">
      <c r="A1088" s="4">
        <v>950.46855000000005</v>
      </c>
      <c r="B1088" s="4">
        <v>1.0377048</v>
      </c>
      <c r="C1088" s="4">
        <v>1.0422237000000001</v>
      </c>
      <c r="D1088" s="4">
        <v>-29.549039</v>
      </c>
      <c r="E1088" s="4">
        <f>((-39.629268/(10/9))+-10.5)+-0.4</f>
        <v>-46.566341199999997</v>
      </c>
      <c r="F1088" s="4">
        <f>((-0.54648739*(1.3/1.5))*0.6)-0.3</f>
        <v>-0.58417344280000005</v>
      </c>
    </row>
    <row r="1089" spans="1:6" x14ac:dyDescent="0.4">
      <c r="A1089" s="4">
        <v>951.34347500000001</v>
      </c>
      <c r="B1089" s="4">
        <v>1.0380528</v>
      </c>
      <c r="C1089" s="4">
        <v>1.0422785000000001</v>
      </c>
      <c r="D1089" s="4">
        <v>-29.547218999999998</v>
      </c>
      <c r="E1089" s="4">
        <f>((-39.6245025/(10/9))+-10.5)+-0.4</f>
        <v>-46.562052249999994</v>
      </c>
      <c r="F1089" s="4">
        <f>((-0.54664028*(1.3/1.5))*0.6)-0.3</f>
        <v>-0.58425294559999996</v>
      </c>
    </row>
    <row r="1090" spans="1:6" x14ac:dyDescent="0.4">
      <c r="A1090" s="4">
        <v>952.21839999999997</v>
      </c>
      <c r="B1090" s="4">
        <v>1.0376763</v>
      </c>
      <c r="C1090" s="4">
        <v>1.0422304</v>
      </c>
      <c r="D1090" s="4">
        <v>-29.545393999999998</v>
      </c>
      <c r="E1090" s="4">
        <f>((-39.5928963/(10/9))+-10.5)+-0.4</f>
        <v>-46.533606669999998</v>
      </c>
      <c r="F1090" s="4">
        <f>((-0.54681718*(1.3/1.5))*0.6)-0.3</f>
        <v>-0.58434493359999995</v>
      </c>
    </row>
    <row r="1091" spans="1:6" x14ac:dyDescent="0.4">
      <c r="A1091" s="4">
        <v>953.09332499999994</v>
      </c>
      <c r="B1091" s="4">
        <v>1.0377529999999999</v>
      </c>
      <c r="C1091" s="4">
        <v>1.0424312</v>
      </c>
      <c r="D1091" s="4">
        <v>-29.543872</v>
      </c>
      <c r="E1091" s="4">
        <f>((-39.6094068/(10/9))+-10.5)+-0.4</f>
        <v>-46.548466120000001</v>
      </c>
      <c r="F1091" s="4">
        <f>((-0.54696733*(1.3/1.5))*0.6)-0.3</f>
        <v>-0.58442301159999999</v>
      </c>
    </row>
    <row r="1092" spans="1:6" x14ac:dyDescent="0.4">
      <c r="A1092" s="4">
        <v>953.96825000000001</v>
      </c>
      <c r="B1092" s="4">
        <v>1.0377444</v>
      </c>
      <c r="C1092" s="4">
        <v>1.0422771</v>
      </c>
      <c r="D1092" s="4">
        <v>-29.542489</v>
      </c>
      <c r="E1092" s="4">
        <f>((-39.5929134/(10/9))+-10.5)+-0.4</f>
        <v>-46.533622059999999</v>
      </c>
      <c r="F1092" s="4">
        <f>((-0.54709542*(1.3/1.5))*0.6)-0.3</f>
        <v>-0.58448961839999991</v>
      </c>
    </row>
    <row r="1093" spans="1:6" x14ac:dyDescent="0.4">
      <c r="A1093" s="4">
        <v>954.84317500000009</v>
      </c>
      <c r="B1093" s="4">
        <v>1.0377276</v>
      </c>
      <c r="C1093" s="4">
        <v>1.0425134</v>
      </c>
      <c r="D1093" s="4">
        <v>-29.540987999999999</v>
      </c>
      <c r="E1093" s="4">
        <f>((-39.4924023/(10/9))+-10.5)+-0.4</f>
        <v>-46.44316207</v>
      </c>
      <c r="F1093" s="4">
        <f>((-0.54725373*(1.3/1.5))*0.6)-0.3</f>
        <v>-0.58457193959999998</v>
      </c>
    </row>
    <row r="1094" spans="1:6" x14ac:dyDescent="0.4">
      <c r="A1094" s="4">
        <v>955.71809999999994</v>
      </c>
      <c r="B1094" s="4">
        <v>1.0376363</v>
      </c>
      <c r="C1094" s="4">
        <v>1.0425454000000001</v>
      </c>
      <c r="D1094" s="4">
        <v>-29.539437</v>
      </c>
      <c r="E1094" s="4">
        <f>((-39.6568512/(10/9))+-10.5)+-0.4</f>
        <v>-46.591166079999994</v>
      </c>
      <c r="F1094" s="4">
        <f>((-0.54736423*(1.3/1.5))*0.6)-0.3</f>
        <v>-0.58462939960000004</v>
      </c>
    </row>
    <row r="1095" spans="1:6" x14ac:dyDescent="0.4">
      <c r="A1095" s="4">
        <v>956.59302500000001</v>
      </c>
      <c r="B1095" s="4">
        <v>1.0375251999999999</v>
      </c>
      <c r="C1095" s="4">
        <v>1.0424948000000001</v>
      </c>
      <c r="D1095" s="4">
        <v>-29.538208999999998</v>
      </c>
      <c r="E1095" s="4">
        <f>((-39.6505341/(10/9))+-10.5)+-0.4</f>
        <v>-46.585480689999997</v>
      </c>
      <c r="F1095" s="4">
        <f>((-0.54750001*(1.3/1.5))*0.6)-0.3</f>
        <v>-0.58470000519999998</v>
      </c>
    </row>
    <row r="1096" spans="1:6" x14ac:dyDescent="0.4">
      <c r="A1096" s="4">
        <v>957.46794999999997</v>
      </c>
      <c r="B1096" s="4">
        <v>1.0374764000000001</v>
      </c>
      <c r="C1096" s="4">
        <v>1.042537</v>
      </c>
      <c r="D1096" s="4">
        <v>-29.536687000000001</v>
      </c>
      <c r="E1096" s="4">
        <f>((-39.5876367/(10/9))+-10.5)+-0.4</f>
        <v>-46.528873029999993</v>
      </c>
      <c r="F1096" s="4">
        <f>((-0.54759479*(1.3/1.5))*0.6)-0.3</f>
        <v>-0.58474929080000004</v>
      </c>
    </row>
    <row r="1097" spans="1:6" x14ac:dyDescent="0.4">
      <c r="A1097" s="4">
        <v>958.34287500000005</v>
      </c>
      <c r="B1097" s="4">
        <v>1.0375652</v>
      </c>
      <c r="C1097" s="4">
        <v>1.0427481999999999</v>
      </c>
      <c r="D1097" s="4">
        <v>-29.535287</v>
      </c>
      <c r="E1097" s="4">
        <f>((-39.6485766/(10/9))+-10.5)+-0.4</f>
        <v>-46.583718939999997</v>
      </c>
      <c r="F1097" s="4">
        <f>((-0.54774451*(1.3/1.5))*0.6)-0.3</f>
        <v>-0.58482714520000001</v>
      </c>
    </row>
    <row r="1098" spans="1:6" x14ac:dyDescent="0.4">
      <c r="A1098" s="4">
        <v>959.21780000000001</v>
      </c>
      <c r="B1098" s="4">
        <v>1.0374032</v>
      </c>
      <c r="C1098" s="4">
        <v>1.0425099</v>
      </c>
      <c r="D1098" s="4">
        <v>-29.533926999999998</v>
      </c>
      <c r="E1098" s="4">
        <f>((-39.5377902/(10/9))+-10.5)+-0.4</f>
        <v>-46.484011180000003</v>
      </c>
      <c r="F1098" s="4">
        <f>((-0.54790843*(1.3/1.5))*0.6)-0.3</f>
        <v>-0.58491238359999997</v>
      </c>
    </row>
    <row r="1099" spans="1:6" x14ac:dyDescent="0.4">
      <c r="A1099" s="4">
        <v>960.09272499999997</v>
      </c>
      <c r="B1099" s="4">
        <v>1.0375297000000001</v>
      </c>
      <c r="C1099" s="4">
        <v>1.0429951</v>
      </c>
      <c r="D1099" s="4">
        <v>-29.532678000000001</v>
      </c>
      <c r="E1099" s="4">
        <f>((-39.5797131/(10/9))+-10.5)+-0.4</f>
        <v>-46.521741789999993</v>
      </c>
      <c r="F1099" s="4">
        <f>((-0.54803985*(1.3/1.5))*0.6)-0.3</f>
        <v>-0.58498072200000006</v>
      </c>
    </row>
    <row r="1100" spans="1:6" x14ac:dyDescent="0.4">
      <c r="A1100" s="4">
        <v>960.96765000000005</v>
      </c>
      <c r="B1100" s="4">
        <v>1.0375608000000001</v>
      </c>
      <c r="C1100" s="4">
        <v>1.0429193000000001</v>
      </c>
      <c r="D1100" s="4">
        <v>-29.530846999999998</v>
      </c>
      <c r="E1100" s="4">
        <f>((-39.5610948/(10/9))+-10.5)+-0.4</f>
        <v>-46.504985319999996</v>
      </c>
      <c r="F1100" s="4">
        <f>((-0.54814172*(1.3/1.5))*0.6)-0.3</f>
        <v>-0.58503369440000008</v>
      </c>
    </row>
    <row r="1101" spans="1:6" x14ac:dyDescent="0.4">
      <c r="A1101" s="4">
        <v>961.8425749999999</v>
      </c>
      <c r="B1101" s="4">
        <v>1.0374639000000001</v>
      </c>
      <c r="C1101" s="4">
        <v>1.0428637000000001</v>
      </c>
      <c r="D1101" s="4">
        <v>-29.529457999999998</v>
      </c>
      <c r="E1101" s="4">
        <f>((-39.6033642/(10/9))+-10.5)+-0.4</f>
        <v>-46.543027779999996</v>
      </c>
      <c r="F1101" s="4">
        <f>((-0.54831254*(1.3/1.5))*0.6)-0.3</f>
        <v>-0.58512252079999993</v>
      </c>
    </row>
    <row r="1102" spans="1:6" x14ac:dyDescent="0.4">
      <c r="A1102" s="4">
        <v>962.71749999999997</v>
      </c>
      <c r="B1102" s="4">
        <v>1.0373143</v>
      </c>
      <c r="C1102" s="4">
        <v>1.0431306</v>
      </c>
      <c r="D1102" s="4">
        <v>-29.528323</v>
      </c>
      <c r="E1102" s="4">
        <f>((-39.4743096/(10/9))+-10.5)+-0.4</f>
        <v>-46.426878639999998</v>
      </c>
      <c r="F1102" s="4">
        <f>((-0.54846877*(1.3/1.5))*0.6)-0.3</f>
        <v>-0.58520376039999999</v>
      </c>
    </row>
    <row r="1103" spans="1:6" x14ac:dyDescent="0.4">
      <c r="A1103" s="4">
        <v>963.59242500000005</v>
      </c>
      <c r="B1103" s="4">
        <v>1.0372752999999999</v>
      </c>
      <c r="C1103" s="4">
        <v>1.0430699999999999</v>
      </c>
      <c r="D1103" s="4">
        <v>-29.526622</v>
      </c>
      <c r="E1103" s="4">
        <f>((-39.464793/(10/9))+-10.5)+-0.4</f>
        <v>-46.418313699999999</v>
      </c>
      <c r="F1103" s="4">
        <f>((-0.54867071*(1.3/1.5))*0.6)-0.3</f>
        <v>-0.58530876919999997</v>
      </c>
    </row>
    <row r="1104" spans="1:6" x14ac:dyDescent="0.4">
      <c r="A1104" s="4">
        <v>964.46735000000001</v>
      </c>
      <c r="B1104" s="4">
        <v>1.0373299</v>
      </c>
      <c r="C1104" s="4">
        <v>1.0432531</v>
      </c>
      <c r="D1104" s="4">
        <v>-29.525299999999998</v>
      </c>
      <c r="E1104" s="4">
        <f>((-39.5438049/(10/9))+-10.5)+-0.4</f>
        <v>-46.489424409999998</v>
      </c>
      <c r="F1104" s="4">
        <f>((-0.54888028*(1.3/1.5))*0.6)-0.3</f>
        <v>-0.58541774560000004</v>
      </c>
    </row>
    <row r="1105" spans="1:6" x14ac:dyDescent="0.4">
      <c r="A1105" s="4">
        <v>965.34227499999997</v>
      </c>
      <c r="B1105" s="4">
        <v>1.0376194999999999</v>
      </c>
      <c r="C1105" s="4">
        <v>1.043364</v>
      </c>
      <c r="D1105" s="4">
        <v>-29.524009</v>
      </c>
      <c r="E1105" s="4">
        <f>((-39.4705332/(10/9))+-10.5)+-0.4</f>
        <v>-46.423479879999995</v>
      </c>
      <c r="F1105" s="4">
        <f>((-0.54908681*(1.3/1.5))*0.6)-0.3</f>
        <v>-0.58552514119999999</v>
      </c>
    </row>
    <row r="1106" spans="1:6" x14ac:dyDescent="0.4">
      <c r="A1106" s="4">
        <v>966.21719999999993</v>
      </c>
      <c r="B1106" s="4">
        <v>1.0376977999999999</v>
      </c>
      <c r="C1106" s="4">
        <v>1.043382</v>
      </c>
      <c r="D1106" s="4">
        <v>-29.522392</v>
      </c>
      <c r="E1106" s="4">
        <f>((-39.5042544/(10/9))+-10.5)+-0.4</f>
        <v>-46.453828959999996</v>
      </c>
      <c r="F1106" s="4">
        <f>((-0.54922545*(1.3/1.5))*0.6)-0.3</f>
        <v>-0.58559723399999997</v>
      </c>
    </row>
    <row r="1107" spans="1:6" x14ac:dyDescent="0.4">
      <c r="A1107" s="4">
        <v>967.09212500000001</v>
      </c>
      <c r="B1107" s="4">
        <v>1.0374447</v>
      </c>
      <c r="C1107" s="4">
        <v>1.0433555999999999</v>
      </c>
      <c r="D1107" s="4">
        <v>-29.520768</v>
      </c>
      <c r="E1107" s="4">
        <f>((-39.5084943/(10/9))+-10.5)+-0.4</f>
        <v>-46.457644869999996</v>
      </c>
      <c r="F1107" s="4">
        <f>((-0.54938346*(1.3/1.5))*0.6)-0.3</f>
        <v>-0.58567939920000001</v>
      </c>
    </row>
    <row r="1108" spans="1:6" x14ac:dyDescent="0.4">
      <c r="A1108" s="4">
        <v>967.96705000000009</v>
      </c>
      <c r="B1108" s="4">
        <v>1.0371408</v>
      </c>
      <c r="C1108" s="4">
        <v>1.0434005</v>
      </c>
      <c r="D1108" s="4">
        <v>-29.519518999999999</v>
      </c>
      <c r="E1108" s="4">
        <f>((-39.5721531/(10/9))+-10.5)+-0.4</f>
        <v>-46.514937789999998</v>
      </c>
      <c r="F1108" s="4">
        <f>((-0.54957986*(1.3/1.5))*0.6)-0.3</f>
        <v>-0.58578152719999999</v>
      </c>
    </row>
    <row r="1109" spans="1:6" x14ac:dyDescent="0.4">
      <c r="A1109" s="4">
        <v>968.84197499999993</v>
      </c>
      <c r="B1109" s="4">
        <v>1.0371760999999999</v>
      </c>
      <c r="C1109" s="4">
        <v>1.0432817000000001</v>
      </c>
      <c r="D1109" s="4">
        <v>-29.517845999999999</v>
      </c>
      <c r="E1109" s="4">
        <f>((-39.4797852/(10/9))+-10.5)+-0.4</f>
        <v>-46.431806680000001</v>
      </c>
      <c r="F1109" s="4">
        <f>((-0.5497039*(1.3/1.5))*0.6)-0.3</f>
        <v>-0.58584602799999996</v>
      </c>
    </row>
    <row r="1110" spans="1:6" x14ac:dyDescent="0.4">
      <c r="A1110" s="4">
        <v>969.71690000000001</v>
      </c>
      <c r="B1110" s="4">
        <v>1.0372714000000001</v>
      </c>
      <c r="C1110" s="4">
        <v>1.0436318</v>
      </c>
      <c r="D1110" s="4">
        <v>-29.516680999999998</v>
      </c>
      <c r="E1110" s="4">
        <f>((-39.3955101/(10/9))+-10.5)+-0.4</f>
        <v>-46.355959089999999</v>
      </c>
      <c r="F1110" s="4">
        <f>((-0.54988104*(1.3/1.5))*0.6)-0.3</f>
        <v>-0.58593814079999995</v>
      </c>
    </row>
    <row r="1111" spans="1:6" x14ac:dyDescent="0.4">
      <c r="A1111" s="4">
        <v>970.59182499999997</v>
      </c>
      <c r="B1111" s="4">
        <v>1.0371566999999999</v>
      </c>
      <c r="C1111" s="4">
        <v>1.0435057000000001</v>
      </c>
      <c r="D1111" s="4">
        <v>-29.515906999999999</v>
      </c>
      <c r="E1111" s="4">
        <f>((-39.4332138/(10/9))+-10.5)+-0.4</f>
        <v>-46.389892419999995</v>
      </c>
      <c r="F1111" s="4">
        <f>((-0.55008322*(1.3/1.5))*0.6)-0.3</f>
        <v>-0.58604327439999992</v>
      </c>
    </row>
    <row r="1112" spans="1:6" x14ac:dyDescent="0.4">
      <c r="A1112" s="4">
        <v>971.46675000000005</v>
      </c>
      <c r="B1112" s="4">
        <v>1.0367758</v>
      </c>
      <c r="C1112" s="4">
        <v>1.0434528999999999</v>
      </c>
      <c r="D1112" s="4">
        <v>-29.514559999999999</v>
      </c>
      <c r="E1112" s="4">
        <f>((-39.4631136/(10/9))+-10.5)+-0.4</f>
        <v>-46.416802239999996</v>
      </c>
      <c r="F1112" s="4">
        <f>((-0.55024487*(1.3/1.5))*0.6)-0.3</f>
        <v>-0.58612733240000003</v>
      </c>
    </row>
    <row r="1113" spans="1:6" x14ac:dyDescent="0.4">
      <c r="A1113" s="4">
        <v>972.34167500000001</v>
      </c>
      <c r="B1113" s="4">
        <v>1.0368451000000001</v>
      </c>
      <c r="C1113" s="4">
        <v>1.0436509</v>
      </c>
      <c r="D1113" s="4">
        <v>-29.513517</v>
      </c>
      <c r="E1113" s="4">
        <f>((-39.4029738/(10/9))+-10.5)+-0.4</f>
        <v>-46.362676419999993</v>
      </c>
      <c r="F1113" s="4">
        <f>((-0.55039734*(1.3/1.5))*0.6)-0.3</f>
        <v>-0.58620661679999997</v>
      </c>
    </row>
    <row r="1114" spans="1:6" x14ac:dyDescent="0.4">
      <c r="A1114" s="4">
        <v>973.21659999999997</v>
      </c>
      <c r="B1114" s="4">
        <v>1.0370511</v>
      </c>
      <c r="C1114" s="4">
        <v>1.0438803000000001</v>
      </c>
      <c r="D1114" s="4">
        <v>-29.511979</v>
      </c>
      <c r="E1114" s="4">
        <f>((-39.3468543/(10/9))+-10.5)+-0.4</f>
        <v>-46.312168869999994</v>
      </c>
      <c r="F1114" s="4">
        <f>((-0.55062991*(1.3/1.5))*0.6)-0.3</f>
        <v>-0.58632755319999996</v>
      </c>
    </row>
    <row r="1115" spans="1:6" x14ac:dyDescent="0.4">
      <c r="A1115" s="4">
        <v>974.09152500000005</v>
      </c>
      <c r="B1115" s="4">
        <v>1.0370058</v>
      </c>
      <c r="C1115" s="4">
        <v>1.0438234</v>
      </c>
      <c r="D1115" s="4">
        <v>-29.511057999999998</v>
      </c>
      <c r="E1115" s="4">
        <f>((-39.3207786/(10/9))+-10.5)+-0.4</f>
        <v>-46.288700739999996</v>
      </c>
      <c r="F1115" s="4">
        <f>((-0.55079329*(1.3/1.5))*0.6)-0.3</f>
        <v>-0.58641251080000001</v>
      </c>
    </row>
    <row r="1116" spans="1:6" x14ac:dyDescent="0.4">
      <c r="A1116" s="4">
        <v>974.96645000000001</v>
      </c>
      <c r="B1116" s="4">
        <v>1.0368592000000001</v>
      </c>
      <c r="C1116" s="4">
        <v>1.0440526999999999</v>
      </c>
      <c r="D1116" s="4">
        <v>-29.509916999999998</v>
      </c>
      <c r="E1116" s="4">
        <f>((-39.3606387/(10/9))+-10.5)+-0.4</f>
        <v>-46.324574829999996</v>
      </c>
      <c r="F1116" s="4">
        <f>((-0.55092788*(1.3/1.5))*0.6)-0.3</f>
        <v>-0.58648249760000004</v>
      </c>
    </row>
    <row r="1117" spans="1:6" x14ac:dyDescent="0.4">
      <c r="A1117" s="4">
        <v>975.84137499999997</v>
      </c>
      <c r="B1117" s="4">
        <v>1.0368811</v>
      </c>
      <c r="C1117" s="4">
        <v>1.0439364</v>
      </c>
      <c r="D1117" s="4">
        <v>-29.508825999999999</v>
      </c>
      <c r="E1117" s="4">
        <f>((-39.3702966/(10/9))+-10.5)+-0.4</f>
        <v>-46.333266940000001</v>
      </c>
      <c r="F1117" s="4">
        <f>((-0.55113018*(1.3/1.5))*0.6)-0.3</f>
        <v>-0.58658769360000007</v>
      </c>
    </row>
    <row r="1118" spans="1:6" x14ac:dyDescent="0.4">
      <c r="A1118" s="4">
        <v>976.71630000000005</v>
      </c>
      <c r="B1118" s="4">
        <v>1.0369656</v>
      </c>
      <c r="C1118" s="4">
        <v>1.0440391</v>
      </c>
      <c r="D1118" s="4">
        <v>-29.507759999999998</v>
      </c>
      <c r="E1118" s="4">
        <f>((-39.4591797/(10/9))+-10.5)+-0.4</f>
        <v>-46.413261729999995</v>
      </c>
      <c r="F1118" s="4">
        <f>((-0.55134118*(1.3/1.5))*0.6)-0.3</f>
        <v>-0.58669741360000005</v>
      </c>
    </row>
    <row r="1119" spans="1:6" x14ac:dyDescent="0.4">
      <c r="A1119" s="4">
        <v>977.59122500000001</v>
      </c>
      <c r="B1119" s="4">
        <v>1.0370854</v>
      </c>
      <c r="C1119" s="4">
        <v>1.0441575999999999</v>
      </c>
      <c r="D1119" s="4">
        <v>-29.506671000000001</v>
      </c>
      <c r="E1119" s="4">
        <f>((-39.4064658/(10/9))+-10.5)+-0.4</f>
        <v>-46.365819219999999</v>
      </c>
      <c r="F1119" s="4">
        <f>((-0.55165768*(1.3/1.5))*0.6)-0.3</f>
        <v>-0.58686199360000002</v>
      </c>
    </row>
    <row r="1120" spans="1:6" x14ac:dyDescent="0.4">
      <c r="A1120" s="4">
        <v>978.46614999999997</v>
      </c>
      <c r="B1120" s="4">
        <v>1.0369797999999999</v>
      </c>
      <c r="C1120" s="4">
        <v>1.0441616</v>
      </c>
      <c r="D1120" s="4">
        <v>-29.505818999999999</v>
      </c>
      <c r="E1120" s="4">
        <f>((-39.2606802/(10/9))+-10.5)+-0.4</f>
        <v>-46.234612179999999</v>
      </c>
      <c r="F1120" s="4">
        <f>((-0.55194008*(1.3/1.5))*0.6)-0.3</f>
        <v>-0.5870088416</v>
      </c>
    </row>
    <row r="1121" spans="1:6" x14ac:dyDescent="0.4">
      <c r="A1121" s="4">
        <v>979.34107499999993</v>
      </c>
      <c r="B1121" s="4">
        <v>1.0367618999999999</v>
      </c>
      <c r="C1121" s="4">
        <v>1.0443728999999999</v>
      </c>
      <c r="D1121" s="4">
        <v>-29.504639999999998</v>
      </c>
      <c r="E1121" s="4">
        <f>((-39.3958053/(10/9))+-10.5)+-0.4</f>
        <v>-46.356224769999997</v>
      </c>
      <c r="F1121" s="4">
        <f>((-0.55217761*(1.3/1.5))*0.6)-0.3</f>
        <v>-0.58713235720000001</v>
      </c>
    </row>
    <row r="1122" spans="1:6" x14ac:dyDescent="0.4">
      <c r="A1122" s="4">
        <v>980.21600000000001</v>
      </c>
      <c r="B1122" s="4">
        <v>1.0367388</v>
      </c>
      <c r="C1122" s="4">
        <v>1.0445776</v>
      </c>
      <c r="D1122" s="4">
        <v>-29.503753</v>
      </c>
      <c r="E1122" s="4">
        <f>((-39.4176096/(10/9))+-10.5)+-0.4</f>
        <v>-46.375848639999994</v>
      </c>
      <c r="F1122" s="4">
        <f>((-0.55241948*(1.3/1.5))*0.6)-0.3</f>
        <v>-0.5872581295999999</v>
      </c>
    </row>
    <row r="1123" spans="1:6" x14ac:dyDescent="0.4">
      <c r="A1123" s="4">
        <v>981.09092500000008</v>
      </c>
      <c r="B1123" s="4">
        <v>1.03678</v>
      </c>
      <c r="C1123" s="4">
        <v>1.0445023</v>
      </c>
      <c r="D1123" s="4">
        <v>-29.502443</v>
      </c>
      <c r="E1123" s="4">
        <f>((-39.3529419/(10/9))+-10.5)+-0.4</f>
        <v>-46.317647709999996</v>
      </c>
      <c r="F1123" s="4">
        <f>((-0.55267298*(1.3/1.5))*0.6)-0.3</f>
        <v>-0.58738994959999991</v>
      </c>
    </row>
    <row r="1124" spans="1:6" x14ac:dyDescent="0.4">
      <c r="A1124" s="4">
        <v>981.96584999999993</v>
      </c>
      <c r="B1124" s="4">
        <v>1.0367966</v>
      </c>
      <c r="C1124" s="4">
        <v>1.0444726</v>
      </c>
      <c r="D1124" s="4">
        <v>-29.500975999999998</v>
      </c>
      <c r="E1124" s="4">
        <f>((-39.2707638/(10/9))+-10.5)+-0.4</f>
        <v>-46.243687419999993</v>
      </c>
      <c r="F1124" s="4">
        <f>((-0.55303115*(1.3/1.5))*0.6)-0.3</f>
        <v>-0.58757619800000005</v>
      </c>
    </row>
    <row r="1125" spans="1:6" x14ac:dyDescent="0.4">
      <c r="A1125" s="4">
        <v>982.84077500000001</v>
      </c>
      <c r="B1125" s="4">
        <v>1.0368215000000001</v>
      </c>
      <c r="C1125" s="4">
        <v>1.0444523999999999</v>
      </c>
      <c r="D1125" s="4">
        <v>-29.500185999999999</v>
      </c>
      <c r="E1125" s="4">
        <f>((-39.3756588/(10/9))+-10.5)+-0.4</f>
        <v>-46.338092919999994</v>
      </c>
      <c r="F1125" s="4">
        <f>((-0.55344695*(1.3/1.5))*0.6)-0.3</f>
        <v>-0.58779241399999993</v>
      </c>
    </row>
    <row r="1126" spans="1:6" x14ac:dyDescent="0.4">
      <c r="A1126" s="4">
        <v>983.71569999999997</v>
      </c>
      <c r="B1126" s="4">
        <v>1.0370067000000001</v>
      </c>
      <c r="C1126" s="4">
        <v>1.0446702000000001</v>
      </c>
      <c r="D1126" s="4">
        <v>-29.499101</v>
      </c>
      <c r="E1126" s="4">
        <f>((-39.3359337/(10/9))+-10.5)+-0.4</f>
        <v>-46.302340329999993</v>
      </c>
      <c r="F1126" s="4">
        <f>((-0.55377942*(1.3/1.5))*0.6)-0.3</f>
        <v>-0.5879652984</v>
      </c>
    </row>
    <row r="1127" spans="1:6" x14ac:dyDescent="0.4">
      <c r="A1127" s="4">
        <v>984.59062500000005</v>
      </c>
      <c r="B1127" s="4">
        <v>1.0367789000000001</v>
      </c>
      <c r="C1127" s="4">
        <v>1.0447749</v>
      </c>
      <c r="D1127" s="4">
        <v>-29.498215999999999</v>
      </c>
      <c r="E1127" s="4">
        <f>((-39.2820696/(10/9))+-10.5)+-0.4</f>
        <v>-46.253862639999994</v>
      </c>
      <c r="F1127" s="4">
        <f>((-0.55415177*(1.3/1.5))*0.6)-0.3</f>
        <v>-0.58815892039999995</v>
      </c>
    </row>
    <row r="1128" spans="1:6" x14ac:dyDescent="0.4">
      <c r="A1128" s="4">
        <v>985.46555000000001</v>
      </c>
      <c r="B1128" s="4">
        <v>1.0365108000000001</v>
      </c>
      <c r="C1128" s="4">
        <v>1.0447884000000001</v>
      </c>
      <c r="D1128" s="4">
        <v>-29.497240999999999</v>
      </c>
      <c r="E1128" s="4">
        <f>((-39.2719239/(10/9))+-10.5)+-0.4</f>
        <v>-46.244731509999994</v>
      </c>
      <c r="F1128" s="4">
        <f>((-0.55452925*(1.3/1.5))*0.6)-0.3</f>
        <v>-0.58835521000000002</v>
      </c>
    </row>
    <row r="1129" spans="1:6" x14ac:dyDescent="0.4">
      <c r="A1129" s="4">
        <v>986.34047499999997</v>
      </c>
      <c r="B1129" s="4">
        <v>1.0365994000000001</v>
      </c>
      <c r="C1129" s="4">
        <v>1.0451463000000001</v>
      </c>
      <c r="D1129" s="4">
        <v>-29.496462999999999</v>
      </c>
      <c r="E1129" s="4">
        <f>((-39.3210981/(10/9))+-10.5)+-0.4</f>
        <v>-46.288988289999999</v>
      </c>
      <c r="F1129" s="4">
        <f>((-0.5549472*(1.3/1.5))*0.6)-0.3</f>
        <v>-0.58857254400000003</v>
      </c>
    </row>
    <row r="1130" spans="1:6" x14ac:dyDescent="0.4">
      <c r="A1130" s="4">
        <v>987.21540000000005</v>
      </c>
      <c r="B1130" s="4">
        <v>1.0366782999999999</v>
      </c>
      <c r="C1130" s="4">
        <v>1.0452372999999999</v>
      </c>
      <c r="D1130" s="4">
        <v>-29.49567</v>
      </c>
      <c r="E1130" s="4">
        <f>((-39.2174145/(10/9))+-10.5)+-0.4</f>
        <v>-46.195673049999996</v>
      </c>
      <c r="F1130" s="4">
        <f>((-0.55528671*(1.3/1.5))*0.6)-0.3</f>
        <v>-0.58874908920000002</v>
      </c>
    </row>
    <row r="1131" spans="1:6" x14ac:dyDescent="0.4">
      <c r="A1131" s="4">
        <v>988.09032500000001</v>
      </c>
      <c r="B1131" s="4">
        <v>1.0367367999999999</v>
      </c>
      <c r="C1131" s="4">
        <v>1.0452429999999999</v>
      </c>
      <c r="D1131" s="4">
        <v>-29.495072999999998</v>
      </c>
      <c r="E1131" s="4">
        <f>((-39.2448393/(10/9))+-10.5)+-0.4</f>
        <v>-46.22035537</v>
      </c>
      <c r="F1131" s="4">
        <f>((-0.55559349*(1.3/1.5))*0.6)-0.3</f>
        <v>-0.58890861480000001</v>
      </c>
    </row>
    <row r="1132" spans="1:6" x14ac:dyDescent="0.4">
      <c r="A1132" s="4">
        <v>988.96524999999997</v>
      </c>
      <c r="B1132" s="4">
        <v>1.0366092</v>
      </c>
      <c r="C1132" s="4">
        <v>1.0451010000000001</v>
      </c>
      <c r="D1132" s="4">
        <v>-29.494212000000001</v>
      </c>
      <c r="E1132" s="4">
        <f>((-39.2121036/(10/9))+-10.5)+-0.4</f>
        <v>-46.190893239999994</v>
      </c>
      <c r="F1132" s="4">
        <f>((-0.5558911*(1.3/1.5))*0.6)-0.3</f>
        <v>-0.58906337200000003</v>
      </c>
    </row>
    <row r="1133" spans="1:6" x14ac:dyDescent="0.4">
      <c r="A1133" s="4">
        <v>989.84017500000004</v>
      </c>
      <c r="B1133" s="4">
        <v>1.0365982</v>
      </c>
      <c r="C1133" s="4">
        <v>1.0452013</v>
      </c>
      <c r="D1133" s="4">
        <v>-29.493354</v>
      </c>
      <c r="E1133" s="4">
        <f>((-39.2513247/(10/9))+-10.5)+-0.4</f>
        <v>-46.226192229999995</v>
      </c>
      <c r="F1133" s="4">
        <f>((-0.55613822*(1.3/1.5))*0.6)-0.3</f>
        <v>-0.58919187439999998</v>
      </c>
    </row>
    <row r="1134" spans="1:6" x14ac:dyDescent="0.4">
      <c r="A1134" s="4">
        <v>990.71510000000001</v>
      </c>
      <c r="B1134" s="4">
        <v>1.0366294</v>
      </c>
      <c r="C1134" s="4">
        <v>1.0456236999999999</v>
      </c>
      <c r="D1134" s="4">
        <v>-29.492218999999999</v>
      </c>
      <c r="E1134" s="4">
        <f>((-39.2289849/(10/9))+-10.5)+-0.4</f>
        <v>-46.206086409999997</v>
      </c>
      <c r="F1134" s="4">
        <f>((-0.55641103*(1.3/1.5))*0.6)-0.3</f>
        <v>-0.58933373559999991</v>
      </c>
    </row>
    <row r="1135" spans="1:6" x14ac:dyDescent="0.4">
      <c r="A1135" s="4">
        <v>991.59002499999997</v>
      </c>
      <c r="B1135" s="4">
        <v>1.0365953000000001</v>
      </c>
      <c r="C1135" s="4">
        <v>1.0454085</v>
      </c>
      <c r="D1135" s="4">
        <v>-29.491406999999999</v>
      </c>
      <c r="E1135" s="4">
        <f>((-39.2240034/(10/9))+-10.5)+-0.4</f>
        <v>-46.201603059999997</v>
      </c>
      <c r="F1135" s="4">
        <f>((-0.55679113*(1.3/1.5))*0.6)-0.3</f>
        <v>-0.58953138760000001</v>
      </c>
    </row>
    <row r="1136" spans="1:6" x14ac:dyDescent="0.4">
      <c r="A1136" s="4">
        <v>992.46494999999993</v>
      </c>
      <c r="B1136" s="4">
        <v>1.0366466000000001</v>
      </c>
      <c r="C1136" s="4">
        <v>1.0455642999999999</v>
      </c>
      <c r="D1136" s="4">
        <v>-29.490183999999999</v>
      </c>
      <c r="E1136" s="4">
        <f>((-39.238794/(10/9))+-10.5)+-0.4</f>
        <v>-46.214914599999993</v>
      </c>
      <c r="F1136" s="4">
        <f>((-0.55715525*(1.3/1.5))*0.6)-0.3</f>
        <v>-0.58972073000000003</v>
      </c>
    </row>
    <row r="1137" spans="1:6" x14ac:dyDescent="0.4">
      <c r="A1137" s="4">
        <v>993.33987500000001</v>
      </c>
      <c r="B1137" s="4">
        <v>1.0363876999999999</v>
      </c>
      <c r="C1137" s="4">
        <v>1.0457451</v>
      </c>
      <c r="D1137" s="4">
        <v>-29.488735999999999</v>
      </c>
      <c r="E1137" s="4">
        <f>((-39.2425596/(10/9))+-10.5)+-0.4</f>
        <v>-46.218303639999995</v>
      </c>
      <c r="F1137" s="4">
        <f>((-0.55751842*(1.3/1.5))*0.6)-0.3</f>
        <v>-0.58990957839999991</v>
      </c>
    </row>
    <row r="1138" spans="1:6" x14ac:dyDescent="0.4">
      <c r="A1138" s="4">
        <v>994.21480000000008</v>
      </c>
      <c r="B1138" s="4">
        <v>1.0364481000000001</v>
      </c>
      <c r="C1138" s="4">
        <v>1.0458136</v>
      </c>
      <c r="D1138" s="4">
        <v>-29.487483000000001</v>
      </c>
      <c r="E1138" s="4">
        <f>((-39.1984191/(10/9))+-10.5)+-0.4</f>
        <v>-46.178577189999999</v>
      </c>
      <c r="F1138" s="4">
        <f>((-0.55788904*(1.3/1.5))*0.6)-0.3</f>
        <v>-0.59010230079999992</v>
      </c>
    </row>
    <row r="1139" spans="1:6" x14ac:dyDescent="0.4">
      <c r="A1139" s="4">
        <v>995.08972499999993</v>
      </c>
      <c r="B1139" s="4">
        <v>1.0364666</v>
      </c>
      <c r="C1139" s="4">
        <v>1.045949</v>
      </c>
      <c r="D1139" s="4">
        <v>-29.486017999999998</v>
      </c>
      <c r="E1139" s="4">
        <f>((-39.2480082/(10/9))+-10.5)+-0.4</f>
        <v>-46.223207379999998</v>
      </c>
      <c r="F1139" s="4">
        <f>((-0.55831432*(1.3/1.5))*0.6)-0.3</f>
        <v>-0.59032344640000001</v>
      </c>
    </row>
    <row r="1140" spans="1:6" x14ac:dyDescent="0.4">
      <c r="A1140" s="4">
        <v>995.96465000000001</v>
      </c>
      <c r="B1140" s="4">
        <v>1.0363211999999999</v>
      </c>
      <c r="C1140" s="4">
        <v>1.04576</v>
      </c>
      <c r="D1140" s="4">
        <v>-29.485413999999999</v>
      </c>
      <c r="E1140" s="4">
        <f>((-39.1470507/(10/9))+-10.5)+-0.4</f>
        <v>-46.132345629999996</v>
      </c>
      <c r="F1140" s="4">
        <f>((-0.55871838*(1.3/1.5))*0.6)-0.3</f>
        <v>-0.59053355759999993</v>
      </c>
    </row>
    <row r="1141" spans="1:6" x14ac:dyDescent="0.4">
      <c r="A1141" s="4">
        <v>996.83957499999997</v>
      </c>
      <c r="B1141" s="4">
        <v>1.0363751999999999</v>
      </c>
      <c r="C1141" s="4">
        <v>1.0459092000000001</v>
      </c>
      <c r="D1141" s="4">
        <v>-29.484323</v>
      </c>
      <c r="E1141" s="4">
        <f>((-39.2542947/(10/9))+-10.5)+-0.4</f>
        <v>-46.228865229999997</v>
      </c>
      <c r="F1141" s="4">
        <f>((-0.55911416*(1.3/1.5))*0.6)-0.3</f>
        <v>-0.59073936319999998</v>
      </c>
    </row>
    <row r="1142" spans="1:6" x14ac:dyDescent="0.4">
      <c r="A1142" s="4">
        <v>997.71450000000004</v>
      </c>
      <c r="B1142" s="4">
        <v>1.0361913</v>
      </c>
      <c r="C1142" s="4">
        <v>1.0460107000000001</v>
      </c>
      <c r="D1142" s="4">
        <v>-29.483225999999998</v>
      </c>
      <c r="E1142" s="4">
        <f>((-39.1975128/(10/9))+-10.5)+-0.4</f>
        <v>-46.177761519999997</v>
      </c>
      <c r="F1142" s="4">
        <f>((-0.55950522*(1.3/1.5))*0.6)-0.3</f>
        <v>-0.59094271440000001</v>
      </c>
    </row>
    <row r="1143" spans="1:6" x14ac:dyDescent="0.4">
      <c r="A1143" s="4">
        <v>998.58942500000001</v>
      </c>
      <c r="B1143" s="4">
        <v>1.0365472</v>
      </c>
      <c r="C1143" s="4">
        <v>1.0462773999999999</v>
      </c>
      <c r="D1143" s="4">
        <v>-29.482095000000001</v>
      </c>
      <c r="E1143" s="4">
        <f>((-39.1165497/(10/9))+-10.5)+-0.4</f>
        <v>-46.104894729999998</v>
      </c>
      <c r="F1143" s="4">
        <f>((-0.55988729*(1.3/1.5))*0.6)-0.3</f>
        <v>-0.59114139080000005</v>
      </c>
    </row>
    <row r="1144" spans="1:6" x14ac:dyDescent="0.4">
      <c r="A1144" s="4">
        <v>999.46434999999997</v>
      </c>
      <c r="B1144" s="4">
        <v>1.0363648000000001</v>
      </c>
      <c r="C1144" s="4">
        <v>1.0462837</v>
      </c>
      <c r="D1144" s="4">
        <v>-29.480665999999999</v>
      </c>
      <c r="E1144" s="4">
        <f>((-39.1545729/(10/9))+-10.5)+-0.4</f>
        <v>-46.139115609999998</v>
      </c>
      <c r="F1144" s="4">
        <f>((-0.56018877*(1.3/1.5))*0.6)-0.3</f>
        <v>-0.59129816040000005</v>
      </c>
    </row>
    <row r="1145" spans="1:6" x14ac:dyDescent="0.4">
      <c r="A1145" s="4">
        <v>1000.339275</v>
      </c>
      <c r="B1145" s="4">
        <v>1.0366036000000001</v>
      </c>
      <c r="C1145" s="4">
        <v>1.0462605</v>
      </c>
      <c r="D1145" s="4">
        <v>-29.479409</v>
      </c>
      <c r="E1145" s="4">
        <f>((-39.1565502/(10/9))+-10.5)+-0.4</f>
        <v>-46.140895179999994</v>
      </c>
      <c r="F1145" s="4">
        <f>((-0.56047571*(1.3/1.5))*0.6)-0.3</f>
        <v>-0.59144736919999996</v>
      </c>
    </row>
    <row r="1146" spans="1:6" x14ac:dyDescent="0.4">
      <c r="A1146" s="4">
        <v>1001.2142</v>
      </c>
      <c r="B1146" s="4">
        <v>1.0364192999999999</v>
      </c>
      <c r="C1146" s="4">
        <v>1.0462965</v>
      </c>
      <c r="D1146" s="4">
        <v>-29.478182999999998</v>
      </c>
      <c r="E1146" s="4">
        <f>((-39.1580199/(10/9))+-10.5)+-0.4</f>
        <v>-46.142217909999999</v>
      </c>
      <c r="F1146" s="4">
        <f>((-0.56084758*(1.3/1.5))*0.6)-0.3</f>
        <v>-0.59164074160000002</v>
      </c>
    </row>
    <row r="1147" spans="1:6" x14ac:dyDescent="0.4">
      <c r="A1147" s="4">
        <v>1002.089125</v>
      </c>
      <c r="B1147" s="4">
        <v>1.0364761</v>
      </c>
      <c r="C1147" s="4">
        <v>1.0466876000000001</v>
      </c>
      <c r="D1147" s="4">
        <v>-29.477308999999998</v>
      </c>
      <c r="E1147" s="4">
        <f>((-39.1202577/(10/9))+-10.5)+-0.4</f>
        <v>-46.108231930000002</v>
      </c>
      <c r="F1147" s="4">
        <f>((-0.56123716*(1.3/1.5))*0.6)-0.3</f>
        <v>-0.59184332319999999</v>
      </c>
    </row>
    <row r="1148" spans="1:6" x14ac:dyDescent="0.4">
      <c r="A1148" s="4">
        <v>1002.96405</v>
      </c>
      <c r="B1148" s="4">
        <v>1.0363264999999999</v>
      </c>
      <c r="C1148" s="4">
        <v>1.0467209</v>
      </c>
      <c r="D1148" s="4">
        <v>-29.476793000000001</v>
      </c>
      <c r="E1148" s="4">
        <f>((-39.1163715/(10/9))+-10.5)+-0.4</f>
        <v>-46.104734349999994</v>
      </c>
      <c r="F1148" s="4">
        <f>((-0.56169122*(1.3/1.5))*0.6)-0.3</f>
        <v>-0.59207943439999999</v>
      </c>
    </row>
    <row r="1149" spans="1:6" x14ac:dyDescent="0.4">
      <c r="A1149" s="4">
        <v>1003.838975</v>
      </c>
      <c r="B1149" s="4">
        <v>1.0363187</v>
      </c>
      <c r="C1149" s="4">
        <v>1.0466466000000001</v>
      </c>
      <c r="D1149" s="4">
        <v>-29.475830999999999</v>
      </c>
      <c r="E1149" s="4">
        <f>((-39.1921083/(10/9))+-10.5)+-0.4</f>
        <v>-46.172897469999995</v>
      </c>
      <c r="F1149" s="4">
        <f>((-0.56213754*(1.3/1.5))*0.6)-0.3</f>
        <v>-0.59231152080000005</v>
      </c>
    </row>
    <row r="1150" spans="1:6" x14ac:dyDescent="0.4">
      <c r="A1150" s="4">
        <v>1004.7139</v>
      </c>
      <c r="B1150" s="4">
        <v>1.0363156</v>
      </c>
      <c r="C1150" s="4">
        <v>1.0467067999999999</v>
      </c>
      <c r="D1150" s="4">
        <v>-29.474618</v>
      </c>
      <c r="E1150" s="4">
        <f>((-39.1468041/(10/9))+-10.5)+-0.4</f>
        <v>-46.132123689999993</v>
      </c>
      <c r="F1150" s="4">
        <f>((-0.56254643*(1.3/1.5))*0.6)-0.3</f>
        <v>-0.59252414359999994</v>
      </c>
    </row>
    <row r="1151" spans="1:6" x14ac:dyDescent="0.4">
      <c r="A1151" s="4">
        <v>1005.5888249999999</v>
      </c>
      <c r="B1151" s="4">
        <v>1.0364078999999999</v>
      </c>
      <c r="C1151" s="4">
        <v>1.0469013</v>
      </c>
      <c r="D1151" s="4">
        <v>-29.473558000000001</v>
      </c>
      <c r="E1151" s="4">
        <f>((-39.2093568/(10/9))+-10.5)+-0.4</f>
        <v>-46.188421120000001</v>
      </c>
      <c r="F1151" s="4">
        <f>((-0.56293333*(1.3/1.5))*0.6)-0.3</f>
        <v>-0.59272533160000007</v>
      </c>
    </row>
    <row r="1152" spans="1:6" x14ac:dyDescent="0.4">
      <c r="A1152" s="4">
        <v>1006.46375</v>
      </c>
      <c r="B1152" s="4">
        <v>1.0360777000000001</v>
      </c>
      <c r="C1152" s="4">
        <v>1.0470085</v>
      </c>
      <c r="D1152" s="4">
        <v>-29.472075999999998</v>
      </c>
      <c r="E1152" s="4">
        <f>((-39.1091688/(10/9))+-10.5)+-0.4</f>
        <v>-46.098251919999996</v>
      </c>
      <c r="F1152" s="4">
        <f>((-0.56334114*(1.3/1.5))*0.6)-0.3</f>
        <v>-0.59293739280000002</v>
      </c>
    </row>
    <row r="1153" spans="1:6" x14ac:dyDescent="0.4">
      <c r="A1153" s="4">
        <v>1007.3386750000001</v>
      </c>
      <c r="B1153" s="4">
        <v>1.0361678999999999</v>
      </c>
      <c r="C1153" s="4">
        <v>1.0469537</v>
      </c>
      <c r="D1153" s="4">
        <v>-29.471135</v>
      </c>
      <c r="E1153" s="4">
        <f>((-39.063843/(10/9))+-10.5)+-0.4</f>
        <v>-46.057458699999998</v>
      </c>
      <c r="F1153" s="4">
        <f>((-0.56377292*(1.3/1.5))*0.6)-0.3</f>
        <v>-0.59316191839999999</v>
      </c>
    </row>
    <row r="1154" spans="1:6" x14ac:dyDescent="0.4">
      <c r="A1154" s="4">
        <v>1008.2135999999999</v>
      </c>
      <c r="B1154" s="4">
        <v>1.0362042</v>
      </c>
      <c r="C1154" s="4">
        <v>1.0471047</v>
      </c>
      <c r="D1154" s="4">
        <v>-29.469982999999999</v>
      </c>
      <c r="E1154" s="4">
        <f>((-39.1045239/(10/9))+-10.5)+-0.4</f>
        <v>-46.094071509999992</v>
      </c>
      <c r="F1154" s="4">
        <f>((-0.56413364*(1.3/1.5))*0.6)-0.3</f>
        <v>-0.59334949280000004</v>
      </c>
    </row>
    <row r="1155" spans="1:6" x14ac:dyDescent="0.4">
      <c r="A1155" s="4">
        <v>1009.088525</v>
      </c>
      <c r="B1155" s="4">
        <v>1.0363772</v>
      </c>
      <c r="C1155" s="4">
        <v>1.0473503</v>
      </c>
      <c r="D1155" s="4">
        <v>-29.468672999999999</v>
      </c>
      <c r="E1155" s="4">
        <f>((-39.0063645/(10/9))+-10.5)+-0.4</f>
        <v>-46.005728049999995</v>
      </c>
      <c r="F1155" s="4">
        <f>((-0.5645687*(1.3/1.5))*0.6)-0.3</f>
        <v>-0.59357572400000003</v>
      </c>
    </row>
    <row r="1156" spans="1:6" x14ac:dyDescent="0.4">
      <c r="A1156" s="4">
        <v>1009.96345</v>
      </c>
      <c r="B1156" s="4">
        <v>1.0362279000000001</v>
      </c>
      <c r="C1156" s="4">
        <v>1.0472174999999999</v>
      </c>
      <c r="D1156" s="4">
        <v>-29.467361</v>
      </c>
      <c r="E1156" s="4">
        <f>((-39.1302009/(10/9))+-10.5)+-0.4</f>
        <v>-46.117180809999994</v>
      </c>
      <c r="F1156" s="4">
        <f>((-0.56501329*(1.3/1.5))*0.6)-0.3</f>
        <v>-0.59380691079999992</v>
      </c>
    </row>
    <row r="1157" spans="1:6" x14ac:dyDescent="0.4">
      <c r="A1157" s="4">
        <v>1010.838375</v>
      </c>
      <c r="B1157" s="4">
        <v>1.0361351999999999</v>
      </c>
      <c r="C1157" s="4">
        <v>1.0475985999999999</v>
      </c>
      <c r="D1157" s="4">
        <v>-29.466245000000001</v>
      </c>
      <c r="E1157" s="4">
        <f>((-39.1290165/(10/9))+-10.5)+-0.4</f>
        <v>-46.116114849999995</v>
      </c>
      <c r="F1157" s="4">
        <f>((-0.56544167*(1.3/1.5))*0.6)-0.3</f>
        <v>-0.59402966839999993</v>
      </c>
    </row>
    <row r="1158" spans="1:6" x14ac:dyDescent="0.4">
      <c r="A1158" s="4">
        <v>1011.7133</v>
      </c>
      <c r="B1158" s="4">
        <v>1.0362817</v>
      </c>
      <c r="C1158" s="4">
        <v>1.0475676</v>
      </c>
      <c r="D1158" s="4">
        <v>-29.464867999999999</v>
      </c>
      <c r="E1158" s="4">
        <f>((-39.0580857/(10/9))+-10.5)+-0.4</f>
        <v>-46.052277129999993</v>
      </c>
      <c r="F1158" s="4">
        <f>((-0.56588489*(1.3/1.5))*0.6)-0.3</f>
        <v>-0.59426014279999995</v>
      </c>
    </row>
    <row r="1159" spans="1:6" x14ac:dyDescent="0.4">
      <c r="A1159" s="4">
        <v>1012.588225</v>
      </c>
      <c r="B1159" s="4">
        <v>1.0363008</v>
      </c>
      <c r="C1159" s="4">
        <v>1.0475658999999999</v>
      </c>
      <c r="D1159" s="4">
        <v>-29.463683</v>
      </c>
      <c r="E1159" s="4">
        <f>((-39.0104082/(10/9))+-10.5)+-0.4</f>
        <v>-46.00936738</v>
      </c>
      <c r="F1159" s="4">
        <f>((-0.56622827*(1.3/1.5))*0.6)-0.3</f>
        <v>-0.59443870040000002</v>
      </c>
    </row>
    <row r="1160" spans="1:6" x14ac:dyDescent="0.4">
      <c r="A1160" s="4">
        <v>1013.46315</v>
      </c>
      <c r="B1160" s="4">
        <v>1.0362039999999999</v>
      </c>
      <c r="C1160" s="4">
        <v>1.0474783999999999</v>
      </c>
      <c r="D1160" s="4">
        <v>-29.461960999999999</v>
      </c>
      <c r="E1160" s="4">
        <f>((-39.1355595/(10/9))+-10.5)+-0.4</f>
        <v>-46.122003549999995</v>
      </c>
      <c r="F1160" s="4">
        <f>((-0.56658185*(1.3/1.5))*0.6)-0.3</f>
        <v>-0.59462256200000008</v>
      </c>
    </row>
    <row r="1161" spans="1:6" x14ac:dyDescent="0.4">
      <c r="A1161" s="4">
        <v>1014.338075</v>
      </c>
      <c r="B1161" s="4">
        <v>1.0364013000000001</v>
      </c>
      <c r="C1161" s="4">
        <v>1.0477345</v>
      </c>
      <c r="D1161" s="4">
        <v>-29.460418000000001</v>
      </c>
      <c r="E1161" s="4">
        <f>((-39.0126267/(10/9))+-10.5)+-0.4</f>
        <v>-46.011364029999996</v>
      </c>
      <c r="F1161" s="4">
        <f>((-0.56699359*(1.3/1.5))*0.6)-0.3</f>
        <v>-0.59483666680000002</v>
      </c>
    </row>
    <row r="1162" spans="1:6" x14ac:dyDescent="0.4">
      <c r="A1162" s="4">
        <v>1015.213</v>
      </c>
      <c r="B1162" s="4">
        <v>1.0363017000000001</v>
      </c>
      <c r="C1162" s="4">
        <v>1.0480480999999999</v>
      </c>
      <c r="D1162" s="4">
        <v>-29.458883</v>
      </c>
      <c r="E1162" s="4">
        <f>((-39.0029994/(10/9))+-10.5)+-0.4</f>
        <v>-46.002699459999995</v>
      </c>
      <c r="F1162" s="4">
        <f>((-0.56735241*(1.3/1.5))*0.6)-0.3</f>
        <v>-0.59502325319999994</v>
      </c>
    </row>
    <row r="1163" spans="1:6" x14ac:dyDescent="0.4">
      <c r="A1163" s="4">
        <v>1016.087925</v>
      </c>
      <c r="B1163" s="4">
        <v>1.0362077000000001</v>
      </c>
      <c r="C1163" s="4">
        <v>1.0480129</v>
      </c>
      <c r="D1163" s="4">
        <v>-29.457618</v>
      </c>
      <c r="E1163" s="4">
        <f>((-39.0693501/(10/9))+-10.5)+-0.4</f>
        <v>-46.062415089999995</v>
      </c>
      <c r="F1163" s="4">
        <f>((-0.56773722*(1.3/1.5))*0.6)-0.3</f>
        <v>-0.59522335440000007</v>
      </c>
    </row>
    <row r="1164" spans="1:6" x14ac:dyDescent="0.4">
      <c r="A1164" s="4">
        <v>1016.96285</v>
      </c>
      <c r="B1164" s="4">
        <v>1.0361507000000001</v>
      </c>
      <c r="C1164" s="4">
        <v>1.0481901</v>
      </c>
      <c r="D1164" s="4">
        <v>-29.456675999999998</v>
      </c>
      <c r="E1164" s="4">
        <f>((-38.9828358/(10/9))+-10.5)+-0.4</f>
        <v>-45.984552219999991</v>
      </c>
      <c r="F1164" s="4">
        <f>((-0.56803381*(1.3/1.5))*0.6)-0.3</f>
        <v>-0.59537758119999995</v>
      </c>
    </row>
    <row r="1165" spans="1:6" x14ac:dyDescent="0.4">
      <c r="A1165" s="4">
        <v>1017.8377750000001</v>
      </c>
      <c r="B1165" s="4">
        <v>1.0364399</v>
      </c>
      <c r="C1165" s="4">
        <v>1.0482395</v>
      </c>
      <c r="D1165" s="4">
        <v>-29.454981999999998</v>
      </c>
      <c r="E1165" s="4">
        <f>((-39.0616011/(10/9))+-10.5)+-0.4</f>
        <v>-46.055440989999994</v>
      </c>
      <c r="F1165" s="4">
        <f>((-0.56834424*(1.3/1.5))*0.6)-0.3</f>
        <v>-0.59553900479999999</v>
      </c>
    </row>
    <row r="1166" spans="1:6" x14ac:dyDescent="0.4">
      <c r="A1166" s="4">
        <v>1018.7126999999999</v>
      </c>
      <c r="B1166" s="4">
        <v>1.0362273</v>
      </c>
      <c r="C1166" s="4">
        <v>1.048573</v>
      </c>
      <c r="D1166" s="4">
        <v>-29.453395</v>
      </c>
      <c r="E1166" s="4">
        <f>((-38.9866194/(10/9))+-10.5)+-0.4</f>
        <v>-45.987957459999997</v>
      </c>
      <c r="F1166" s="4">
        <f>((-0.56861693*(1.3/1.5))*0.6)-0.3</f>
        <v>-0.59568080359999998</v>
      </c>
    </row>
    <row r="1167" spans="1:6" x14ac:dyDescent="0.4">
      <c r="A1167" s="4">
        <v>1019.587625</v>
      </c>
      <c r="B1167" s="4">
        <v>1.0363245000000001</v>
      </c>
      <c r="C1167" s="4">
        <v>1.0484142999999999</v>
      </c>
      <c r="D1167" s="4">
        <v>-29.451933999999998</v>
      </c>
      <c r="E1167" s="4">
        <f>((-39.0374487/(10/9))+-10.5)+-0.4</f>
        <v>-46.033703829999993</v>
      </c>
      <c r="F1167" s="4">
        <f>((-0.56881946*(1.3/1.5))*0.6)-0.3</f>
        <v>-0.59578611920000002</v>
      </c>
    </row>
    <row r="1168" spans="1:6" x14ac:dyDescent="0.4">
      <c r="A1168" s="4">
        <v>1020.4625500000001</v>
      </c>
      <c r="B1168" s="4">
        <v>1.036343</v>
      </c>
      <c r="C1168" s="4">
        <v>1.0485533</v>
      </c>
      <c r="D1168" s="4">
        <v>-29.450438999999999</v>
      </c>
      <c r="E1168" s="4">
        <f>((-39.0522969/(10/9))+-10.5)+-0.4</f>
        <v>-46.047067210000002</v>
      </c>
      <c r="F1168" s="4">
        <f>((-0.56907958*(1.3/1.5))*0.6)-0.3</f>
        <v>-0.59592138159999997</v>
      </c>
    </row>
    <row r="1169" spans="1:6" x14ac:dyDescent="0.4">
      <c r="A1169" s="4">
        <v>1021.3374749999999</v>
      </c>
      <c r="B1169" s="4">
        <v>1.0363057</v>
      </c>
      <c r="C1169" s="4">
        <v>1.0488138</v>
      </c>
      <c r="D1169" s="4">
        <v>-29.448599999999999</v>
      </c>
      <c r="E1169" s="4">
        <f>((-39.0229326/(10/9))+-10.5)+-0.4</f>
        <v>-46.020639339999995</v>
      </c>
      <c r="F1169" s="4">
        <f>((-0.5693112*(1.3/1.5))*0.6)-0.3</f>
        <v>-0.59604182400000005</v>
      </c>
    </row>
    <row r="1170" spans="1:6" x14ac:dyDescent="0.4">
      <c r="A1170" s="4">
        <v>1022.2124</v>
      </c>
      <c r="B1170" s="4">
        <v>1.0362150999999999</v>
      </c>
      <c r="C1170" s="4">
        <v>1.0486993</v>
      </c>
      <c r="D1170" s="4">
        <v>-29.446930999999999</v>
      </c>
      <c r="E1170" s="4">
        <f>((-38.9491254/(10/9))+-10.5)+-0.4</f>
        <v>-45.954212859999998</v>
      </c>
      <c r="F1170" s="4">
        <f>((-0.56962901*(1.3/1.5))*0.6)-0.3</f>
        <v>-0.59620708519999999</v>
      </c>
    </row>
    <row r="1171" spans="1:6" x14ac:dyDescent="0.4">
      <c r="A1171" s="4">
        <v>1023.087325</v>
      </c>
      <c r="B1171" s="4">
        <v>1.0360780000000001</v>
      </c>
      <c r="C1171" s="4">
        <v>1.0486975999999999</v>
      </c>
      <c r="D1171" s="4">
        <v>-29.445084999999999</v>
      </c>
      <c r="E1171" s="4">
        <f>((-38.9760345/(10/9))+-10.5)+-0.4</f>
        <v>-45.978431049999998</v>
      </c>
      <c r="F1171" s="4">
        <f>((-0.56996888*(1.3/1.5))*0.6)-0.3</f>
        <v>-0.59638381760000003</v>
      </c>
    </row>
    <row r="1172" spans="1:6" x14ac:dyDescent="0.4">
      <c r="A1172" s="4">
        <v>1023.96225</v>
      </c>
      <c r="B1172" s="4">
        <v>1.0364062999999999</v>
      </c>
      <c r="C1172" s="4">
        <v>1.0489991999999999</v>
      </c>
      <c r="D1172" s="4">
        <v>-29.443286000000001</v>
      </c>
      <c r="E1172" s="4">
        <f>((-39.0702087/(10/9))+-10.5)+-0.4</f>
        <v>-46.063187829999997</v>
      </c>
      <c r="F1172" s="4">
        <f>((-0.57026398*(1.3/1.5))*0.6)-0.3</f>
        <v>-0.59653726959999998</v>
      </c>
    </row>
    <row r="1173" spans="1:6" x14ac:dyDescent="0.4">
      <c r="A1173" s="4">
        <v>1024.8371750000001</v>
      </c>
      <c r="B1173" s="4">
        <v>1.0362551</v>
      </c>
      <c r="C1173" s="4">
        <v>1.0492359</v>
      </c>
      <c r="D1173" s="4">
        <v>-29.441403999999999</v>
      </c>
      <c r="E1173" s="4">
        <f>((-39.0104361/(10/9))+-10.5)+-0.4</f>
        <v>-46.009392489999996</v>
      </c>
      <c r="F1173" s="4">
        <f>((-0.57057709*(1.3/1.5))*0.6)-0.3</f>
        <v>-0.59670008679999997</v>
      </c>
    </row>
    <row r="1174" spans="1:6" x14ac:dyDescent="0.4">
      <c r="A1174" s="4">
        <v>1025.7121</v>
      </c>
      <c r="B1174" s="4">
        <v>1.0365567</v>
      </c>
      <c r="C1174" s="4">
        <v>1.0492812</v>
      </c>
      <c r="D1174" s="4">
        <v>-29.440056999999999</v>
      </c>
      <c r="E1174" s="4">
        <f>((-39.0173508/(10/9))+-10.5)+-0.4</f>
        <v>-46.01561572</v>
      </c>
      <c r="F1174" s="4">
        <f>((-0.57095838*(1.3/1.5))*0.6)-0.3</f>
        <v>-0.59689835759999998</v>
      </c>
    </row>
    <row r="1175" spans="1:6" x14ac:dyDescent="0.4">
      <c r="A1175" s="4">
        <v>1026.587025</v>
      </c>
      <c r="B1175" s="4">
        <v>1.0364412999999999</v>
      </c>
      <c r="C1175" s="4">
        <v>1.0492808</v>
      </c>
      <c r="D1175" s="4">
        <v>-29.438006999999999</v>
      </c>
      <c r="E1175" s="4">
        <f>((-38.8812231/(10/9))+-10.5)+-0.4</f>
        <v>-45.893100789999998</v>
      </c>
      <c r="F1175" s="4">
        <f>((-0.57123947*(1.3/1.5))*0.6)-0.3</f>
        <v>-0.5970445244</v>
      </c>
    </row>
    <row r="1176" spans="1:6" x14ac:dyDescent="0.4">
      <c r="A1176" s="4">
        <v>1027.4619499999999</v>
      </c>
      <c r="B1176" s="4">
        <v>1.0363792000000001</v>
      </c>
      <c r="C1176" s="4">
        <v>1.049464</v>
      </c>
      <c r="D1176" s="4">
        <v>-29.436481000000001</v>
      </c>
      <c r="E1176" s="4">
        <f>((-38.8727703/(10/9))+-10.5)+-0.4</f>
        <v>-45.885493269999998</v>
      </c>
      <c r="F1176" s="4">
        <f>((-0.57160383*(1.3/1.5))*0.6)-0.3</f>
        <v>-0.59723399160000001</v>
      </c>
    </row>
    <row r="1177" spans="1:6" x14ac:dyDescent="0.4">
      <c r="A1177" s="4">
        <v>1028.336875</v>
      </c>
      <c r="B1177" s="4">
        <v>1.0363903999999999</v>
      </c>
      <c r="C1177" s="4">
        <v>1.0495607</v>
      </c>
      <c r="D1177" s="4">
        <v>-29.435141999999999</v>
      </c>
      <c r="E1177" s="4">
        <f>((-38.8928583/(10/9))+-10.5)+-0.4</f>
        <v>-45.90357247</v>
      </c>
      <c r="F1177" s="4">
        <f>((-0.57197231*(1.3/1.5))*0.6)-0.3</f>
        <v>-0.59742560119999999</v>
      </c>
    </row>
    <row r="1178" spans="1:6" x14ac:dyDescent="0.4">
      <c r="A1178" s="4">
        <v>1029.2118</v>
      </c>
      <c r="B1178" s="4">
        <v>1.0363405000000001</v>
      </c>
      <c r="C1178" s="4">
        <v>1.0497181</v>
      </c>
      <c r="D1178" s="4">
        <v>-29.433719</v>
      </c>
      <c r="E1178" s="4">
        <f>((-38.93553/(10/9))+-10.5)+-0.4</f>
        <v>-45.941976999999994</v>
      </c>
      <c r="F1178" s="4">
        <f>((-0.57222992*(1.3/1.5))*0.6)-0.3</f>
        <v>-0.59755955839999997</v>
      </c>
    </row>
    <row r="1179" spans="1:6" x14ac:dyDescent="0.4">
      <c r="A1179" s="4">
        <v>1030.0867249999999</v>
      </c>
      <c r="B1179" s="4">
        <v>1.0365187</v>
      </c>
      <c r="C1179" s="4">
        <v>1.0500552999999999</v>
      </c>
      <c r="D1179" s="4">
        <v>-29.432154999999998</v>
      </c>
      <c r="E1179" s="4">
        <f>((-38.8800072/(10/9))+-10.5)+-0.4</f>
        <v>-45.892006479999999</v>
      </c>
      <c r="F1179" s="4">
        <f>((-0.57256794*(1.3/1.5))*0.6)-0.3</f>
        <v>-0.59773532880000002</v>
      </c>
    </row>
    <row r="1180" spans="1:6" x14ac:dyDescent="0.4">
      <c r="A1180" s="4">
        <v>1030.96165</v>
      </c>
      <c r="B1180" s="4">
        <v>1.0366283999999999</v>
      </c>
      <c r="C1180" s="4">
        <v>1.0500356</v>
      </c>
      <c r="D1180" s="4">
        <v>-29.430588999999998</v>
      </c>
      <c r="E1180" s="4">
        <f>((-38.9163753/(10/9))+-10.5)+-0.4</f>
        <v>-45.924737769999993</v>
      </c>
      <c r="F1180" s="4">
        <f>((-0.57288378*(1.3/1.5))*0.6)-0.3</f>
        <v>-0.5978995655999999</v>
      </c>
    </row>
    <row r="1181" spans="1:6" x14ac:dyDescent="0.4">
      <c r="A1181" s="4">
        <v>1031.836575</v>
      </c>
      <c r="B1181" s="4">
        <v>1.0366607999999999</v>
      </c>
      <c r="C1181" s="4">
        <v>1.0502324999999999</v>
      </c>
      <c r="D1181" s="4">
        <v>-29.428981</v>
      </c>
      <c r="E1181" s="4">
        <f>((-38.823462/(10/9))+-10.5)+-0.4</f>
        <v>-45.841115799999997</v>
      </c>
      <c r="F1181" s="4">
        <f>((-0.57322431*(1.3/1.5))*0.6)-0.3</f>
        <v>-0.59807664120000004</v>
      </c>
    </row>
    <row r="1182" spans="1:6" x14ac:dyDescent="0.4">
      <c r="A1182" s="4">
        <v>1032.7114999999999</v>
      </c>
      <c r="B1182" s="4">
        <v>1.0364795</v>
      </c>
      <c r="C1182" s="4">
        <v>1.0503625000000001</v>
      </c>
      <c r="D1182" s="4">
        <v>-29.427388000000001</v>
      </c>
      <c r="E1182" s="4">
        <f>((-38.9088126/(10/9))+-10.5)+-0.4</f>
        <v>-45.917931339999996</v>
      </c>
      <c r="F1182" s="4">
        <f>((-0.57358509*(1.3/1.5))*0.6)-0.3</f>
        <v>-0.59826424680000001</v>
      </c>
    </row>
    <row r="1183" spans="1:6" x14ac:dyDescent="0.4">
      <c r="A1183" s="4">
        <v>1033.586425</v>
      </c>
      <c r="B1183" s="4">
        <v>1.0365565999999999</v>
      </c>
      <c r="C1183" s="4">
        <v>1.0501940000000001</v>
      </c>
      <c r="D1183" s="4">
        <v>-29.426186999999999</v>
      </c>
      <c r="E1183" s="4">
        <f>((-38.8471824/(10/9))+-10.5)+-0.4</f>
        <v>-45.862464159999995</v>
      </c>
      <c r="F1183" s="4">
        <f>((-0.57386565*(1.3/1.5))*0.6)-0.3</f>
        <v>-0.59841013799999998</v>
      </c>
    </row>
    <row r="1184" spans="1:6" x14ac:dyDescent="0.4">
      <c r="A1184" s="4">
        <v>1034.46135</v>
      </c>
      <c r="B1184" s="4">
        <v>1.0364376</v>
      </c>
      <c r="C1184" s="4">
        <v>1.0500906000000001</v>
      </c>
      <c r="D1184" s="4">
        <v>-29.424540999999998</v>
      </c>
      <c r="E1184" s="4">
        <f>((-38.8733985/(10/9))+-10.5)+-0.4</f>
        <v>-45.886058649999995</v>
      </c>
      <c r="F1184" s="4">
        <f>((-0.57414627*(1.3/1.5))*0.6)-0.3</f>
        <v>-0.59855606039999998</v>
      </c>
    </row>
    <row r="1185" spans="1:6" x14ac:dyDescent="0.4">
      <c r="A1185" s="4">
        <v>1035.3362750000001</v>
      </c>
      <c r="B1185" s="4">
        <v>1.0364712</v>
      </c>
      <c r="C1185" s="4">
        <v>1.050467</v>
      </c>
      <c r="D1185" s="4">
        <v>-29.422919</v>
      </c>
      <c r="E1185" s="4">
        <f>((-38.8593468/(10/9))+-10.5)+-0.4</f>
        <v>-45.873412119999998</v>
      </c>
      <c r="F1185" s="4">
        <f>((-0.57435185*(1.3/1.5))*0.6)-0.3</f>
        <v>-0.59866296200000002</v>
      </c>
    </row>
    <row r="1186" spans="1:6" x14ac:dyDescent="0.4">
      <c r="A1186" s="4">
        <v>1036.2112</v>
      </c>
      <c r="B1186" s="4">
        <v>1.0365446</v>
      </c>
      <c r="C1186" s="4">
        <v>1.0507203000000001</v>
      </c>
      <c r="D1186" s="4">
        <v>-29.421146</v>
      </c>
      <c r="E1186" s="4">
        <f>((-38.8424997/(10/9))+-10.5)+-0.4</f>
        <v>-45.858249729999997</v>
      </c>
      <c r="F1186" s="4">
        <f>((-0.57457936*(1.3/1.5))*0.6)-0.3</f>
        <v>-0.59878126719999991</v>
      </c>
    </row>
    <row r="1187" spans="1:6" x14ac:dyDescent="0.4">
      <c r="A1187" s="4">
        <v>1037.086125</v>
      </c>
      <c r="B1187" s="4">
        <v>1.0365839999999999</v>
      </c>
      <c r="C1187" s="4">
        <v>1.0507105999999999</v>
      </c>
      <c r="D1187" s="4">
        <v>-29.419464999999999</v>
      </c>
      <c r="E1187" s="4">
        <f>((-38.8586394/(10/9))+-10.5)+-0.4</f>
        <v>-45.87277546</v>
      </c>
      <c r="F1187" s="4">
        <f>((-0.57480228*(1.3/1.5))*0.6)-0.3</f>
        <v>-0.59889718560000005</v>
      </c>
    </row>
    <row r="1188" spans="1:6" x14ac:dyDescent="0.4">
      <c r="A1188" s="4">
        <v>1037.9610500000001</v>
      </c>
      <c r="B1188" s="4">
        <v>1.0364701000000001</v>
      </c>
      <c r="C1188" s="4">
        <v>1.0510018000000001</v>
      </c>
      <c r="D1188" s="4">
        <v>-29.417463999999999</v>
      </c>
      <c r="E1188" s="4">
        <f>((-38.8403091/(10/9))+-10.5)+-0.4</f>
        <v>-45.856278189999998</v>
      </c>
      <c r="F1188" s="4">
        <f>((-0.57493573*(1.3/1.5))*0.6)-0.3</f>
        <v>-0.59896657959999999</v>
      </c>
    </row>
    <row r="1189" spans="1:6" x14ac:dyDescent="0.4">
      <c r="A1189" s="4">
        <v>1038.835975</v>
      </c>
      <c r="B1189" s="4">
        <v>1.0368120999999999</v>
      </c>
      <c r="C1189" s="4">
        <v>1.0511031</v>
      </c>
      <c r="D1189" s="4">
        <v>-29.415658000000001</v>
      </c>
      <c r="E1189" s="4">
        <f>((-38.923623/(10/9))+-10.5)+-0.4</f>
        <v>-45.931260699999996</v>
      </c>
      <c r="F1189" s="4">
        <f>((-0.57508606*(1.3/1.5))*0.6)-0.3</f>
        <v>-0.5990447512</v>
      </c>
    </row>
    <row r="1190" spans="1:6" x14ac:dyDescent="0.4">
      <c r="A1190" s="4">
        <v>1039.7109</v>
      </c>
      <c r="B1190" s="4">
        <v>1.0368158000000001</v>
      </c>
      <c r="C1190" s="4">
        <v>1.0513184</v>
      </c>
      <c r="D1190" s="4">
        <v>-29.414210999999998</v>
      </c>
      <c r="E1190" s="4">
        <f>((-38.8884357/(10/9))+-10.5)+-0.4</f>
        <v>-45.899592130000002</v>
      </c>
      <c r="F1190" s="4">
        <f>((-0.57535201*(1.3/1.5))*0.6)-0.3</f>
        <v>-0.59918304519999999</v>
      </c>
    </row>
    <row r="1191" spans="1:6" x14ac:dyDescent="0.4">
      <c r="A1191" s="4">
        <v>1040.5858249999999</v>
      </c>
      <c r="B1191" s="4">
        <v>1.0368054</v>
      </c>
      <c r="C1191" s="4">
        <v>1.0512607</v>
      </c>
      <c r="D1191" s="4">
        <v>-29.412492</v>
      </c>
      <c r="E1191" s="4">
        <f>((-38.862162/(10/9))+-10.5)+-0.4</f>
        <v>-45.875945799999997</v>
      </c>
      <c r="F1191" s="4">
        <f>((-0.57558405*(1.3/1.5))*0.6)-0.3</f>
        <v>-0.59930370599999994</v>
      </c>
    </row>
    <row r="1192" spans="1:6" x14ac:dyDescent="0.4">
      <c r="A1192" s="4">
        <v>1041.46075</v>
      </c>
      <c r="B1192" s="4">
        <v>1.0367432000000001</v>
      </c>
      <c r="C1192" s="4">
        <v>1.0513897999999999</v>
      </c>
      <c r="D1192" s="4">
        <v>-29.411400999999998</v>
      </c>
      <c r="E1192" s="4">
        <f>((-38.8413153/(10/9))+-10.5)+-0.4</f>
        <v>-45.857183769999992</v>
      </c>
      <c r="F1192" s="4">
        <f>((-0.57579947*(1.3/1.5))*0.6)-0.3</f>
        <v>-0.59941572440000002</v>
      </c>
    </row>
    <row r="1193" spans="1:6" x14ac:dyDescent="0.4">
      <c r="A1193" s="4">
        <v>1042.335675</v>
      </c>
      <c r="B1193" s="4">
        <v>1.0367485000000001</v>
      </c>
      <c r="C1193" s="4">
        <v>1.0516113</v>
      </c>
      <c r="D1193" s="4">
        <v>-29.409761</v>
      </c>
      <c r="E1193" s="4">
        <f>((-38.8724202/(10/9))+-10.5)+-0.4</f>
        <v>-45.885178179999997</v>
      </c>
      <c r="F1193" s="4">
        <f>((-0.57599431*(1.3/1.5))*0.6)-0.3</f>
        <v>-0.59951704119999993</v>
      </c>
    </row>
    <row r="1194" spans="1:6" x14ac:dyDescent="0.4">
      <c r="A1194" s="4">
        <v>1043.2105999999999</v>
      </c>
      <c r="B1194" s="4">
        <v>1.0369645000000001</v>
      </c>
      <c r="C1194" s="4">
        <v>1.0517828</v>
      </c>
      <c r="D1194" s="4">
        <v>-29.408104999999999</v>
      </c>
      <c r="E1194" s="4">
        <f>((-38.8567917/(10/9))+-10.5)+-0.4</f>
        <v>-45.871112529999998</v>
      </c>
      <c r="F1194" s="4">
        <f>((-0.57614368*(1.3/1.5))*0.6)-0.3</f>
        <v>-0.59959471359999994</v>
      </c>
    </row>
    <row r="1195" spans="1:6" x14ac:dyDescent="0.4">
      <c r="A1195" s="4">
        <v>1044.085525</v>
      </c>
      <c r="B1195" s="4">
        <v>1.0368111</v>
      </c>
      <c r="C1195" s="4">
        <v>1.0515049999999999</v>
      </c>
      <c r="D1195" s="4">
        <v>-29.406738999999998</v>
      </c>
      <c r="E1195" s="4">
        <f>((-38.776437/(10/9))+-10.5)+-0.4</f>
        <v>-45.7987933</v>
      </c>
      <c r="F1195" s="4">
        <f>((-0.5763253*(1.3/1.5))*0.6)-0.3</f>
        <v>-0.59968915599999995</v>
      </c>
    </row>
    <row r="1196" spans="1:6" x14ac:dyDescent="0.4">
      <c r="A1196" s="4">
        <v>1044.96045</v>
      </c>
      <c r="B1196" s="4">
        <v>1.0366787</v>
      </c>
      <c r="C1196" s="4">
        <v>1.0516642</v>
      </c>
      <c r="D1196" s="4">
        <v>-29.405504999999998</v>
      </c>
      <c r="E1196" s="4">
        <f>((-38.7232119/(10/9))+-10.5)+-0.4</f>
        <v>-45.75089071</v>
      </c>
      <c r="F1196" s="4">
        <f>((-0.57648307*(1.3/1.5))*0.6)-0.3</f>
        <v>-0.59977119639999998</v>
      </c>
    </row>
    <row r="1197" spans="1:6" x14ac:dyDescent="0.4">
      <c r="A1197" s="4">
        <v>1045.8353750000001</v>
      </c>
      <c r="B1197" s="4">
        <v>1.0369212999999999</v>
      </c>
      <c r="C1197" s="4">
        <v>1.0519282000000001</v>
      </c>
      <c r="D1197" s="4">
        <v>-29.403998999999999</v>
      </c>
      <c r="E1197" s="4">
        <f>((-38.7560745/(10/9))+-10.5)+-0.4</f>
        <v>-45.780467049999992</v>
      </c>
      <c r="F1197" s="4">
        <f>((-0.57668215*(1.3/1.5))*0.6)-0.3</f>
        <v>-0.59987471800000003</v>
      </c>
    </row>
    <row r="1198" spans="1:6" x14ac:dyDescent="0.4">
      <c r="A1198" s="4">
        <v>1046.7103</v>
      </c>
      <c r="B1198" s="4">
        <v>1.0369036</v>
      </c>
      <c r="C1198" s="4">
        <v>1.0520645</v>
      </c>
      <c r="D1198" s="4">
        <v>-29.402588999999999</v>
      </c>
      <c r="E1198" s="4">
        <f>((-38.8125513/(10/9))+-10.5)+-0.4</f>
        <v>-45.831296170000002</v>
      </c>
      <c r="F1198" s="4">
        <f>((-0.57689899*(1.3/1.5))*0.6)-0.3</f>
        <v>-0.59998747480000003</v>
      </c>
    </row>
    <row r="1199" spans="1:6" x14ac:dyDescent="0.4">
      <c r="A1199" s="4">
        <v>1047.585225</v>
      </c>
      <c r="B1199" s="4">
        <v>1.0368459000000001</v>
      </c>
      <c r="C1199" s="4">
        <v>1.0520670000000001</v>
      </c>
      <c r="D1199" s="4">
        <v>-29.401035</v>
      </c>
      <c r="E1199" s="4">
        <f>((-38.7536409/(10/9))+-10.5)+-0.4</f>
        <v>-45.778276809999994</v>
      </c>
      <c r="F1199" s="4">
        <f>((-0.57712239*(1.3/1.5))*0.6)-0.3</f>
        <v>-0.60010364279999995</v>
      </c>
    </row>
    <row r="1200" spans="1:6" x14ac:dyDescent="0.4">
      <c r="A1200" s="4">
        <v>1048.4601500000001</v>
      </c>
      <c r="B1200" s="4">
        <v>1.0369794000000001</v>
      </c>
      <c r="C1200" s="4">
        <v>1.0521780000000001</v>
      </c>
      <c r="D1200" s="4">
        <v>-29.399947000000001</v>
      </c>
      <c r="E1200" s="4">
        <f>((-38.7547947/(10/9))+-10.5)+-0.4</f>
        <v>-45.779315229999995</v>
      </c>
      <c r="F1200" s="4">
        <f>((-0.57729298*(1.3/1.5))*0.6)-0.3</f>
        <v>-0.60019234960000001</v>
      </c>
    </row>
    <row r="1201" spans="1:6" x14ac:dyDescent="0.4">
      <c r="A1201" s="4">
        <v>1049.335075</v>
      </c>
      <c r="B1201" s="4">
        <v>1.0370759000000001</v>
      </c>
      <c r="C1201" s="4">
        <v>1.0524317000000001</v>
      </c>
      <c r="D1201" s="4">
        <v>-29.399048999999998</v>
      </c>
      <c r="E1201" s="4">
        <f>((-38.7095886/(10/9))+-10.5)+-0.4</f>
        <v>-45.738629739999993</v>
      </c>
      <c r="F1201" s="4">
        <f>((-0.57745993*(1.3/1.5))*0.6)-0.3</f>
        <v>-0.6002791636</v>
      </c>
    </row>
    <row r="1202" spans="1:6" x14ac:dyDescent="0.4">
      <c r="A1202" s="4">
        <v>1050.21</v>
      </c>
      <c r="B1202" s="4">
        <v>1.0371709</v>
      </c>
      <c r="C1202" s="4">
        <v>1.0525469000000001</v>
      </c>
      <c r="D1202" s="4">
        <v>-29.397817</v>
      </c>
      <c r="E1202" s="4">
        <f>((-38.7680229/(10/9))+-10.5)+-0.4</f>
        <v>-45.791220609999996</v>
      </c>
      <c r="F1202" s="4">
        <f>((-0.5776127*(1.3/1.5))*0.6)-0.3</f>
        <v>-0.60035860399999996</v>
      </c>
    </row>
    <row r="1203" spans="1:6" x14ac:dyDescent="0.4">
      <c r="A1203" s="4">
        <v>1051.0849250000001</v>
      </c>
      <c r="B1203" s="4">
        <v>1.0369929</v>
      </c>
      <c r="C1203" s="4">
        <v>1.0525804999999999</v>
      </c>
      <c r="D1203" s="4">
        <v>-29.396757999999998</v>
      </c>
      <c r="E1203" s="4">
        <f>((-38.6908398/(10/9))+-10.5)+-0.4</f>
        <v>-45.721755819999998</v>
      </c>
      <c r="F1203" s="4">
        <f>((-0.57775295*(1.3/1.5))*0.6)-0.3</f>
        <v>-0.60043153400000004</v>
      </c>
    </row>
    <row r="1204" spans="1:6" x14ac:dyDescent="0.4">
      <c r="A1204" s="4">
        <v>1051.9598500000002</v>
      </c>
      <c r="B1204" s="4">
        <v>1.0371253</v>
      </c>
      <c r="C1204" s="4">
        <v>1.0527074000000001</v>
      </c>
      <c r="D1204" s="4">
        <v>-29.395166</v>
      </c>
      <c r="E1204" s="4">
        <f>((-38.7862389/(10/9))+-10.5)+-0.4</f>
        <v>-45.807615009999999</v>
      </c>
      <c r="F1204" s="4">
        <f>((-0.57786751*(1.3/1.5))*0.6)-0.3</f>
        <v>-0.60049110519999993</v>
      </c>
    </row>
    <row r="1205" spans="1:6" x14ac:dyDescent="0.4">
      <c r="A1205" s="4">
        <v>1052.8347749999998</v>
      </c>
      <c r="B1205" s="4">
        <v>1.0372684999999999</v>
      </c>
      <c r="C1205" s="4">
        <v>1.0530025000000001</v>
      </c>
      <c r="D1205" s="4">
        <v>-29.393642</v>
      </c>
      <c r="E1205" s="4">
        <f>((-38.7070515/(10/9))+-10.5)+-0.4</f>
        <v>-45.736346349999998</v>
      </c>
      <c r="F1205" s="4">
        <f>((-0.57791513*(1.3/1.5))*0.6)-0.3</f>
        <v>-0.60051586759999998</v>
      </c>
    </row>
    <row r="1206" spans="1:6" x14ac:dyDescent="0.4">
      <c r="A1206" s="4">
        <v>1053.7096999999999</v>
      </c>
      <c r="B1206" s="4">
        <v>1.0371642999999999</v>
      </c>
      <c r="C1206" s="4">
        <v>1.0530202</v>
      </c>
      <c r="D1206" s="4">
        <v>-29.392557999999998</v>
      </c>
      <c r="E1206" s="4">
        <f>((-38.7935001/(10/9))+-10.5)+-0.4</f>
        <v>-45.814150089999998</v>
      </c>
      <c r="F1206" s="4">
        <f>((-0.5780229*(1.3/1.5))*0.6)-0.3</f>
        <v>-0.60057190800000004</v>
      </c>
    </row>
    <row r="1207" spans="1:6" x14ac:dyDescent="0.4">
      <c r="A1207" s="4">
        <v>1054.584625</v>
      </c>
      <c r="B1207" s="4">
        <v>1.0373185</v>
      </c>
      <c r="C1207" s="4">
        <v>1.0531786999999999</v>
      </c>
      <c r="D1207" s="4">
        <v>-29.391407999999998</v>
      </c>
      <c r="E1207" s="4">
        <f>((-38.7259758/(10/9))+-10.5)+-0.4</f>
        <v>-45.753378219999995</v>
      </c>
      <c r="F1207" s="4">
        <f>((-0.57826215*(1.3/1.5))*0.6)-0.3</f>
        <v>-0.60069631800000001</v>
      </c>
    </row>
    <row r="1208" spans="1:6" x14ac:dyDescent="0.4">
      <c r="A1208" s="4">
        <v>1055.45955</v>
      </c>
      <c r="B1208" s="4">
        <v>1.0373349000000001</v>
      </c>
      <c r="C1208" s="4">
        <v>1.0530647</v>
      </c>
      <c r="D1208" s="4">
        <v>-29.390138</v>
      </c>
      <c r="E1208" s="4">
        <f>((-38.7285129/(10/9))+-10.5)+-0.4</f>
        <v>-45.755661609999997</v>
      </c>
      <c r="F1208" s="4">
        <f>((-0.57848316*(1.3/1.5))*0.6)-0.3</f>
        <v>-0.6008112431999999</v>
      </c>
    </row>
    <row r="1209" spans="1:6" x14ac:dyDescent="0.4">
      <c r="A1209" s="4">
        <v>1056.3344750000001</v>
      </c>
      <c r="B1209" s="4">
        <v>1.037447</v>
      </c>
      <c r="C1209" s="4">
        <v>1.0534028</v>
      </c>
      <c r="D1209" s="4">
        <v>-29.389164999999998</v>
      </c>
      <c r="E1209" s="4">
        <f>((-38.7554229/(10/9))+-10.5)+-0.4</f>
        <v>-45.779880609999999</v>
      </c>
      <c r="F1209" s="4">
        <f>((-0.57866514*(1.3/1.5))*0.6)-0.3</f>
        <v>-0.60090587279999996</v>
      </c>
    </row>
    <row r="1210" spans="1:6" x14ac:dyDescent="0.4">
      <c r="A1210" s="4">
        <v>1057.2094</v>
      </c>
      <c r="B1210" s="4">
        <v>1.0374458</v>
      </c>
      <c r="C1210" s="4">
        <v>1.0534018000000001</v>
      </c>
      <c r="D1210" s="4">
        <v>-29.387954000000001</v>
      </c>
      <c r="E1210" s="4">
        <f>((-38.7346689/(10/9))+-10.5)+-0.4</f>
        <v>-45.761202009999998</v>
      </c>
      <c r="F1210" s="4">
        <f>((-0.5787667*(1.3/1.5))*0.6)-0.3</f>
        <v>-0.60095868399999997</v>
      </c>
    </row>
    <row r="1211" spans="1:6" x14ac:dyDescent="0.4">
      <c r="A1211" s="4">
        <v>1058.084325</v>
      </c>
      <c r="B1211" s="4">
        <v>1.0373802000000001</v>
      </c>
      <c r="C1211" s="4">
        <v>1.0535231</v>
      </c>
      <c r="D1211" s="4">
        <v>-29.386554</v>
      </c>
      <c r="E1211" s="4">
        <f>((-38.6811927/(10/9))+-10.5)+-0.4</f>
        <v>-45.713073429999994</v>
      </c>
      <c r="F1211" s="4">
        <f>((-0.57885116*(1.3/1.5))*0.6)-0.3</f>
        <v>-0.60100260319999999</v>
      </c>
    </row>
    <row r="1212" spans="1:6" x14ac:dyDescent="0.4">
      <c r="A1212" s="4">
        <v>1058.9592500000001</v>
      </c>
      <c r="B1212" s="4">
        <v>1.0374223</v>
      </c>
      <c r="C1212" s="4">
        <v>1.0537018</v>
      </c>
      <c r="D1212" s="4">
        <v>-29.385473999999999</v>
      </c>
      <c r="E1212" s="4">
        <f>((-38.6980497/(10/9))+-10.5)+-0.4</f>
        <v>-45.728244729999993</v>
      </c>
      <c r="F1212" s="4">
        <f>((-0.5789575*(1.3/1.5))*0.6)-0.3</f>
        <v>-0.60105790000000003</v>
      </c>
    </row>
    <row r="1213" spans="1:6" x14ac:dyDescent="0.4">
      <c r="A1213" s="4">
        <v>1059.834175</v>
      </c>
      <c r="B1213" s="4">
        <v>1.0375576</v>
      </c>
      <c r="C1213" s="4">
        <v>1.0537616999999999</v>
      </c>
      <c r="D1213" s="4">
        <v>-29.384204</v>
      </c>
      <c r="E1213" s="4">
        <f>((-38.7343701/(10/9))+-10.5)+-0.4</f>
        <v>-45.760933089999995</v>
      </c>
      <c r="F1213" s="4">
        <f>((-0.57911164*(1.3/1.5))*0.6)-0.3</f>
        <v>-0.60113805279999999</v>
      </c>
    </row>
    <row r="1214" spans="1:6" x14ac:dyDescent="0.4">
      <c r="A1214" s="4">
        <v>1060.7091</v>
      </c>
      <c r="B1214" s="4">
        <v>1.0374544000000001</v>
      </c>
      <c r="C1214" s="4">
        <v>1.0539236999999999</v>
      </c>
      <c r="D1214" s="4">
        <v>-29.383047999999999</v>
      </c>
      <c r="E1214" s="4">
        <f>((-38.5742619/(10/9))+-10.5)+-0.4</f>
        <v>-45.616835709999997</v>
      </c>
      <c r="F1214" s="4">
        <f>((-0.57920587*(1.3/1.5))*0.6)-0.3</f>
        <v>-0.60118705240000003</v>
      </c>
    </row>
    <row r="1215" spans="1:6" x14ac:dyDescent="0.4">
      <c r="A1215" s="4">
        <v>1061.5840249999999</v>
      </c>
      <c r="B1215" s="4">
        <v>1.0377959000000001</v>
      </c>
      <c r="C1215" s="4">
        <v>1.0539715999999999</v>
      </c>
      <c r="D1215" s="4">
        <v>-29.382080999999999</v>
      </c>
      <c r="E1215" s="4">
        <f>((-38.7148041/(10/9))+-10.5)+-0.4</f>
        <v>-45.743323689999997</v>
      </c>
      <c r="F1215" s="4">
        <f>((-0.57935005*(1.3/1.5))*0.6)-0.3</f>
        <v>-0.60126202599999989</v>
      </c>
    </row>
    <row r="1216" spans="1:6" x14ac:dyDescent="0.4">
      <c r="A1216" s="4">
        <v>1062.45895</v>
      </c>
      <c r="B1216" s="4">
        <v>1.0376993000000001</v>
      </c>
      <c r="C1216" s="4">
        <v>1.0540735999999999</v>
      </c>
      <c r="D1216" s="4">
        <v>-29.380642999999999</v>
      </c>
      <c r="E1216" s="4">
        <f>((-38.6599338/(10/9))+-10.5)+-0.4</f>
        <v>-45.693940419999997</v>
      </c>
      <c r="F1216" s="4">
        <f>((-0.57944441*(1.3/1.5))*0.6)-0.3</f>
        <v>-0.60131109320000009</v>
      </c>
    </row>
    <row r="1217" spans="1:6" x14ac:dyDescent="0.4">
      <c r="A1217" s="4">
        <v>1063.333875</v>
      </c>
      <c r="B1217" s="4">
        <v>1.0376270000000001</v>
      </c>
      <c r="C1217" s="4">
        <v>1.05427</v>
      </c>
      <c r="D1217" s="4">
        <v>-29.379322999999999</v>
      </c>
      <c r="E1217" s="4">
        <f>((-38.6683353/(10/9))+-10.5)+-0.4</f>
        <v>-45.70150177</v>
      </c>
      <c r="F1217" s="4">
        <f>((-0.57953173*(1.3/1.5))*0.6)-0.3</f>
        <v>-0.60135649960000004</v>
      </c>
    </row>
    <row r="1218" spans="1:6" x14ac:dyDescent="0.4">
      <c r="A1218" s="4">
        <v>1064.2088000000001</v>
      </c>
      <c r="B1218" s="4">
        <v>1.0376749000000001</v>
      </c>
      <c r="C1218" s="4">
        <v>1.0543579000000001</v>
      </c>
      <c r="D1218" s="4">
        <v>-29.378363999999998</v>
      </c>
      <c r="E1218" s="4">
        <f>((-38.594799/(10/9))+-10.5)+-0.4</f>
        <v>-45.635319099999997</v>
      </c>
      <c r="F1218" s="4">
        <f>((-0.57970673*(1.3/1.5))*0.6)-0.3</f>
        <v>-0.60144749959999999</v>
      </c>
    </row>
    <row r="1219" spans="1:6" x14ac:dyDescent="0.4">
      <c r="A1219" s="4">
        <v>1065.0837250000002</v>
      </c>
      <c r="B1219" s="4">
        <v>1.0378398</v>
      </c>
      <c r="C1219" s="4">
        <v>1.0545841</v>
      </c>
      <c r="D1219" s="4">
        <v>-29.377465000000001</v>
      </c>
      <c r="E1219" s="4">
        <f>((-38.7065439/(10/9))+-10.5)+-0.4</f>
        <v>-45.73588951</v>
      </c>
      <c r="F1219" s="4">
        <f>((-0.5799374*(1.3/1.5))*0.6)-0.3</f>
        <v>-0.60156744799999995</v>
      </c>
    </row>
    <row r="1220" spans="1:6" x14ac:dyDescent="0.4">
      <c r="A1220" s="4">
        <v>1065.9586499999998</v>
      </c>
      <c r="B1220" s="4">
        <v>1.0378518000000001</v>
      </c>
      <c r="C1220" s="4">
        <v>1.0546522</v>
      </c>
      <c r="D1220" s="4">
        <v>-29.376166999999999</v>
      </c>
      <c r="E1220" s="4">
        <f>((-38.5975008/(10/9))+-10.5)+-0.4</f>
        <v>-45.637750719999993</v>
      </c>
      <c r="F1220" s="4">
        <f>((-0.58008122*(1.3/1.5))*0.6)-0.3</f>
        <v>-0.60164223439999998</v>
      </c>
    </row>
    <row r="1221" spans="1:6" x14ac:dyDescent="0.4">
      <c r="A1221" s="4">
        <v>1066.8335749999999</v>
      </c>
      <c r="B1221" s="4">
        <v>1.0378044</v>
      </c>
      <c r="C1221" s="4">
        <v>1.0547285</v>
      </c>
      <c r="D1221" s="4">
        <v>-29.37482</v>
      </c>
      <c r="E1221" s="4">
        <f>((-38.5540497/(10/9))+-10.5)+-0.4</f>
        <v>-45.598644729999997</v>
      </c>
      <c r="F1221" s="4">
        <f>((-0.58016485*(1.3/1.5))*0.6)-0.3</f>
        <v>-0.60168572199999992</v>
      </c>
    </row>
    <row r="1222" spans="1:6" x14ac:dyDescent="0.4">
      <c r="A1222" s="4">
        <v>1067.7085</v>
      </c>
      <c r="B1222" s="4">
        <v>1.0378540999999999</v>
      </c>
      <c r="C1222" s="4">
        <v>1.0548588000000001</v>
      </c>
      <c r="D1222" s="4">
        <v>-29.373989999999999</v>
      </c>
      <c r="E1222" s="4">
        <f>((-38.6399979/(10/9))+-10.5)+-0.4</f>
        <v>-45.675998109999995</v>
      </c>
      <c r="F1222" s="4">
        <f>((-0.58020693*(1.3/1.5))*0.6)-0.3</f>
        <v>-0.60170760359999997</v>
      </c>
    </row>
    <row r="1223" spans="1:6" x14ac:dyDescent="0.4">
      <c r="A1223" s="4">
        <v>1068.583425</v>
      </c>
      <c r="B1223" s="4">
        <v>1.0379684</v>
      </c>
      <c r="C1223" s="4">
        <v>1.0549225</v>
      </c>
      <c r="D1223" s="4">
        <v>-29.372980999999999</v>
      </c>
      <c r="E1223" s="4">
        <f>((-38.6042436/(10/9))+-10.5)+-0.4</f>
        <v>-45.643819239999992</v>
      </c>
      <c r="F1223" s="4">
        <f>((-0.580401*(1.3/1.5))*0.6)-0.3</f>
        <v>-0.60180851999999996</v>
      </c>
    </row>
    <row r="1224" spans="1:6" x14ac:dyDescent="0.4">
      <c r="A1224" s="4">
        <v>1069.4583500000001</v>
      </c>
      <c r="B1224" s="4">
        <v>1.0380071</v>
      </c>
      <c r="C1224" s="4">
        <v>1.0551162000000001</v>
      </c>
      <c r="D1224" s="4">
        <v>-29.371679</v>
      </c>
      <c r="E1224" s="4">
        <f>((-38.6326467/(10/9))+-10.5)+-0.4</f>
        <v>-45.669382030000001</v>
      </c>
      <c r="F1224" s="4">
        <f>((-0.58059055*(1.3/1.5))*0.6)-0.3</f>
        <v>-0.60190708599999998</v>
      </c>
    </row>
    <row r="1225" spans="1:6" x14ac:dyDescent="0.4">
      <c r="A1225" s="4">
        <v>1070.333275</v>
      </c>
      <c r="B1225" s="4">
        <v>1.0380849000000001</v>
      </c>
      <c r="C1225" s="4">
        <v>1.0551671</v>
      </c>
      <c r="D1225" s="4">
        <v>-29.370241999999998</v>
      </c>
      <c r="E1225" s="4">
        <f>((-38.4896322/(10/9))+-10.5)+-0.4</f>
        <v>-45.54066898</v>
      </c>
      <c r="F1225" s="4">
        <f>((-0.58073407*(1.3/1.5))*0.6)-0.3</f>
        <v>-0.60198171639999998</v>
      </c>
    </row>
    <row r="1226" spans="1:6" x14ac:dyDescent="0.4">
      <c r="A1226" s="4">
        <v>1071.2082</v>
      </c>
      <c r="B1226" s="4">
        <v>1.0383853999999999</v>
      </c>
      <c r="C1226" s="4">
        <v>1.0555542</v>
      </c>
      <c r="D1226" s="4">
        <v>-29.368959</v>
      </c>
      <c r="E1226" s="4">
        <f>((-38.644056/(10/9))+-10.5)+-0.4</f>
        <v>-45.679650399999993</v>
      </c>
      <c r="F1226" s="4">
        <f>((-0.58087951*(1.3/1.5))*0.6)-0.3</f>
        <v>-0.60205734519999998</v>
      </c>
    </row>
    <row r="1227" spans="1:6" x14ac:dyDescent="0.4">
      <c r="A1227" s="4">
        <v>1072.0831250000001</v>
      </c>
      <c r="B1227" s="4">
        <v>1.038154</v>
      </c>
      <c r="C1227" s="4">
        <v>1.055571</v>
      </c>
      <c r="D1227" s="4">
        <v>-29.367683</v>
      </c>
      <c r="E1227" s="4">
        <f>((-38.5857936/(10/9))+-10.5)+-0.4</f>
        <v>-45.627214240000001</v>
      </c>
      <c r="F1227" s="4">
        <f>((-0.58103406*(1.3/1.5))*0.6)-0.3</f>
        <v>-0.60213771120000004</v>
      </c>
    </row>
    <row r="1228" spans="1:6" x14ac:dyDescent="0.4">
      <c r="A1228" s="4">
        <v>1072.95805</v>
      </c>
      <c r="B1228" s="4">
        <v>1.0382323</v>
      </c>
      <c r="C1228" s="4">
        <v>1.0555901999999999</v>
      </c>
      <c r="D1228" s="4">
        <v>-29.366602999999998</v>
      </c>
      <c r="E1228" s="4">
        <f>((-38.5451235/(10/9))+-10.5)+-0.4</f>
        <v>-45.590611150000001</v>
      </c>
      <c r="F1228" s="4">
        <f>((-0.58128297*(1.3/1.5))*0.6)-0.3</f>
        <v>-0.60226714439999995</v>
      </c>
    </row>
    <row r="1229" spans="1:6" x14ac:dyDescent="0.4">
      <c r="A1229" s="4">
        <v>1073.832975</v>
      </c>
      <c r="B1229" s="4">
        <v>1.0383731</v>
      </c>
      <c r="C1229" s="4">
        <v>1.0558460999999999</v>
      </c>
      <c r="D1229" s="4">
        <v>-29.365707</v>
      </c>
      <c r="E1229" s="4">
        <f>((-38.6367768/(10/9))+-10.5)+-0.4</f>
        <v>-45.673099119999996</v>
      </c>
      <c r="F1229" s="4">
        <f>((-0.58152926*(1.3/1.5))*0.6)-0.3</f>
        <v>-0.60239521520000006</v>
      </c>
    </row>
    <row r="1230" spans="1:6" x14ac:dyDescent="0.4">
      <c r="A1230" s="4">
        <v>1074.7078999999999</v>
      </c>
      <c r="B1230" s="4">
        <v>1.0384519000000001</v>
      </c>
      <c r="C1230" s="4">
        <v>1.055874</v>
      </c>
      <c r="D1230" s="4">
        <v>-29.364708999999998</v>
      </c>
      <c r="E1230" s="4">
        <f>((-38.5360461/(10/9))+-10.5)+-0.4</f>
        <v>-45.582441489999994</v>
      </c>
      <c r="F1230" s="4">
        <f>((-0.58169127*(1.3/1.5))*0.6)-0.3</f>
        <v>-0.60247946039999989</v>
      </c>
    </row>
    <row r="1231" spans="1:6" x14ac:dyDescent="0.4">
      <c r="A1231" s="4">
        <v>1075.582825</v>
      </c>
      <c r="B1231" s="4">
        <v>1.0384297</v>
      </c>
      <c r="C1231" s="4">
        <v>1.0561229999999999</v>
      </c>
      <c r="D1231" s="4">
        <v>-29.363644999999998</v>
      </c>
      <c r="E1231" s="4">
        <f>((-38.5276725/(10/9))+-10.5)+-0.4</f>
        <v>-45.57490525</v>
      </c>
      <c r="F1231" s="4">
        <f>((-0.58186364*(1.3/1.5))*0.6)-0.3</f>
        <v>-0.60256909280000004</v>
      </c>
    </row>
    <row r="1232" spans="1:6" x14ac:dyDescent="0.4">
      <c r="A1232" s="4">
        <v>1076.45775</v>
      </c>
      <c r="B1232" s="4">
        <v>1.0384784</v>
      </c>
      <c r="C1232" s="4">
        <v>1.056087</v>
      </c>
      <c r="D1232" s="4">
        <v>-29.362175999999998</v>
      </c>
      <c r="E1232" s="4">
        <f>((-38.5746732/(10/9))+-10.5)+-0.4</f>
        <v>-45.617205879999993</v>
      </c>
      <c r="F1232" s="4">
        <f>((-0.58202952*(1.3/1.5))*0.6)-0.3</f>
        <v>-0.60265535040000007</v>
      </c>
    </row>
    <row r="1233" spans="1:6" x14ac:dyDescent="0.4">
      <c r="A1233" s="4">
        <v>1077.3326750000001</v>
      </c>
      <c r="B1233" s="4">
        <v>1.0384324</v>
      </c>
      <c r="C1233" s="4">
        <v>1.0563868999999999</v>
      </c>
      <c r="D1233" s="4">
        <v>-29.361037</v>
      </c>
      <c r="E1233" s="4">
        <f>((-38.5537923/(10/9))+-10.5)+-0.4</f>
        <v>-45.598413069999992</v>
      </c>
      <c r="F1233" s="4">
        <f>((-0.58220303*(1.3/1.5))*0.6)-0.3</f>
        <v>-0.60274557559999997</v>
      </c>
    </row>
    <row r="1234" spans="1:6" x14ac:dyDescent="0.4">
      <c r="A1234" s="4">
        <v>1078.2076000000002</v>
      </c>
      <c r="B1234" s="4">
        <v>1.0385848</v>
      </c>
      <c r="C1234" s="4">
        <v>1.0564749</v>
      </c>
      <c r="D1234" s="4">
        <v>-29.359923999999999</v>
      </c>
      <c r="E1234" s="4">
        <f>((-38.4419826/(10/9))+-10.5)+-0.4</f>
        <v>-45.497784340000003</v>
      </c>
      <c r="F1234" s="4">
        <f>((-0.58241451*(1.3/1.5))*0.6)-0.3</f>
        <v>-0.60285554519999995</v>
      </c>
    </row>
    <row r="1235" spans="1:6" x14ac:dyDescent="0.4">
      <c r="A1235" s="4">
        <v>1079.0825249999998</v>
      </c>
      <c r="B1235" s="4">
        <v>1.0387093999999999</v>
      </c>
      <c r="C1235" s="4">
        <v>1.0565062000000001</v>
      </c>
      <c r="D1235" s="4">
        <v>-29.359189000000001</v>
      </c>
      <c r="E1235" s="4">
        <f>((-38.5239168/(10/9))+-10.5)+-0.4</f>
        <v>-45.571525119999997</v>
      </c>
      <c r="F1235" s="4">
        <f>((-0.58254087*(1.3/1.5))*0.6)-0.3</f>
        <v>-0.60292125239999994</v>
      </c>
    </row>
    <row r="1236" spans="1:6" x14ac:dyDescent="0.4">
      <c r="A1236" s="4">
        <v>1079.9574499999999</v>
      </c>
      <c r="B1236" s="4">
        <v>1.0384161000000001</v>
      </c>
      <c r="C1236" s="4">
        <v>1.0564221</v>
      </c>
      <c r="D1236" s="4">
        <v>-29.358194999999998</v>
      </c>
      <c r="E1236" s="4">
        <f>((-38.5292241/(10/9))+-10.5)+-0.4</f>
        <v>-45.576301689999994</v>
      </c>
      <c r="F1236" s="4">
        <f>((-0.58268881*(1.3/1.5))*0.6)-0.3</f>
        <v>-0.60299818120000004</v>
      </c>
    </row>
    <row r="1237" spans="1:6" x14ac:dyDescent="0.4">
      <c r="A1237" s="4">
        <v>1080.832375</v>
      </c>
      <c r="B1237" s="4">
        <v>1.0384682000000001</v>
      </c>
      <c r="C1237" s="4">
        <v>1.0565226999999999</v>
      </c>
      <c r="D1237" s="4">
        <v>-29.357012999999998</v>
      </c>
      <c r="E1237" s="4">
        <f>((-38.5057512/(10/9))+-10.5)+-0.4</f>
        <v>-45.555176079999995</v>
      </c>
      <c r="F1237" s="4">
        <f>((-0.58283502*(1.3/1.5))*0.6)-0.3</f>
        <v>-0.60307421039999998</v>
      </c>
    </row>
    <row r="1238" spans="1:6" x14ac:dyDescent="0.4">
      <c r="A1238" s="4">
        <v>1081.7073</v>
      </c>
      <c r="B1238" s="4">
        <v>1.0384165000000001</v>
      </c>
      <c r="C1238" s="4">
        <v>1.0566663000000001</v>
      </c>
      <c r="D1238" s="4">
        <v>-29.35575</v>
      </c>
      <c r="E1238" s="4">
        <f>((-38.5670412/(10/9))+-10.5)+-0.4</f>
        <v>-45.610337079999994</v>
      </c>
      <c r="F1238" s="4">
        <f>((-0.58297414*(1.3/1.5))*0.6)-0.3</f>
        <v>-0.60314655279999996</v>
      </c>
    </row>
    <row r="1239" spans="1:6" x14ac:dyDescent="0.4">
      <c r="A1239" s="4">
        <v>1082.5822250000001</v>
      </c>
      <c r="B1239" s="4">
        <v>1.0387442</v>
      </c>
      <c r="C1239" s="4">
        <v>1.0568848</v>
      </c>
      <c r="D1239" s="4">
        <v>-29.354471999999998</v>
      </c>
      <c r="E1239" s="4">
        <f>((-38.5095141/(10/9))+-10.5)+-0.4</f>
        <v>-45.558562689999995</v>
      </c>
      <c r="F1239" s="4">
        <f>((-0.58309758*(1.3/1.5))*0.6)-0.3</f>
        <v>-0.60321074159999999</v>
      </c>
    </row>
    <row r="1240" spans="1:6" x14ac:dyDescent="0.4">
      <c r="A1240" s="4">
        <v>1083.45715</v>
      </c>
      <c r="B1240" s="4">
        <v>1.0386086999999999</v>
      </c>
      <c r="C1240" s="4">
        <v>1.0567948</v>
      </c>
      <c r="D1240" s="4">
        <v>-29.353186999999998</v>
      </c>
      <c r="E1240" s="4">
        <f>((-38.5370865/(10/9))+-10.5)+-0.4</f>
        <v>-45.583377849999998</v>
      </c>
      <c r="F1240" s="4">
        <f>((-0.58325779*(1.3/1.5))*0.6)-0.3</f>
        <v>-0.60329405079999998</v>
      </c>
    </row>
    <row r="1241" spans="1:6" x14ac:dyDescent="0.4">
      <c r="A1241" s="4">
        <v>1084.332075</v>
      </c>
      <c r="B1241" s="4">
        <v>1.0387871</v>
      </c>
      <c r="C1241" s="4">
        <v>1.0568023</v>
      </c>
      <c r="D1241" s="4">
        <v>-29.352228999999998</v>
      </c>
      <c r="E1241" s="4">
        <f>((-38.4884514/(10/9))+-10.5)+-0.4</f>
        <v>-45.539606259999999</v>
      </c>
      <c r="F1241" s="4">
        <f>((-0.58336186*(1.3/1.5))*0.6)-0.3</f>
        <v>-0.60334816719999995</v>
      </c>
    </row>
    <row r="1242" spans="1:6" x14ac:dyDescent="0.4">
      <c r="A1242" s="4">
        <v>1085.2070000000001</v>
      </c>
      <c r="B1242" s="4">
        <v>1.0387952</v>
      </c>
      <c r="C1242" s="4">
        <v>1.0570248</v>
      </c>
      <c r="D1242" s="4">
        <v>-29.350942</v>
      </c>
      <c r="E1242" s="4">
        <f>((-38.4978546/(10/9))+-10.5)+-0.4</f>
        <v>-45.548069139999996</v>
      </c>
      <c r="F1242" s="4">
        <f>((-0.58349144*(1.3/1.5))*0.6)-0.3</f>
        <v>-0.60341554879999992</v>
      </c>
    </row>
    <row r="1243" spans="1:6" x14ac:dyDescent="0.4">
      <c r="A1243" s="4">
        <v>1086.081925</v>
      </c>
      <c r="B1243" s="4">
        <v>1.0387335</v>
      </c>
      <c r="C1243" s="4">
        <v>1.0570493999999999</v>
      </c>
      <c r="D1243" s="4">
        <v>-29.349843</v>
      </c>
      <c r="E1243" s="4">
        <f>((-38.4904566/(10/9))+-10.5)+-0.4</f>
        <v>-45.541410939999999</v>
      </c>
      <c r="F1243" s="4">
        <f>((-0.58372867*(1.3/1.5))*0.6)-0.3</f>
        <v>-0.60353890839999991</v>
      </c>
    </row>
    <row r="1244" spans="1:6" x14ac:dyDescent="0.4">
      <c r="A1244" s="4">
        <v>1086.95685</v>
      </c>
      <c r="B1244" s="4">
        <v>1.0390189999999999</v>
      </c>
      <c r="C1244" s="4">
        <v>1.0574253</v>
      </c>
      <c r="D1244" s="4">
        <v>-29.348993</v>
      </c>
      <c r="E1244" s="4">
        <f>((-38.5264674/(10/9))+-10.5)+-0.4</f>
        <v>-45.573820659999996</v>
      </c>
      <c r="F1244" s="4">
        <f>((-0.58394903*(1.3/1.5))*0.6)-0.3</f>
        <v>-0.60365349559999992</v>
      </c>
    </row>
    <row r="1245" spans="1:6" x14ac:dyDescent="0.4">
      <c r="A1245" s="4">
        <v>1087.8317749999999</v>
      </c>
      <c r="B1245" s="4">
        <v>1.0390438</v>
      </c>
      <c r="C1245" s="4">
        <v>1.0574471000000001</v>
      </c>
      <c r="D1245" s="4">
        <v>-29.347946999999998</v>
      </c>
      <c r="E1245" s="4">
        <f>((-38.4114474/(10/9))+-10.5)+-0.4</f>
        <v>-45.470302659999994</v>
      </c>
      <c r="F1245" s="4">
        <f>((-0.58423448*(1.3/1.5))*0.6)-0.3</f>
        <v>-0.60380192960000001</v>
      </c>
    </row>
    <row r="1246" spans="1:6" x14ac:dyDescent="0.4">
      <c r="A1246" s="4">
        <v>1088.7067</v>
      </c>
      <c r="B1246" s="4">
        <v>1.039034</v>
      </c>
      <c r="C1246" s="4">
        <v>1.0575409</v>
      </c>
      <c r="D1246" s="4">
        <v>-29.346678999999998</v>
      </c>
      <c r="E1246" s="4">
        <f>((-38.4284178/(10/9))+-10.5)+-0.4</f>
        <v>-45.485576019999996</v>
      </c>
      <c r="F1246" s="4">
        <f>((-0.58445984*(1.3/1.5))*0.6)-0.3</f>
        <v>-0.60391911679999999</v>
      </c>
    </row>
    <row r="1247" spans="1:6" x14ac:dyDescent="0.4">
      <c r="A1247" s="4">
        <v>1089.581625</v>
      </c>
      <c r="B1247" s="4">
        <v>1.0388839999999999</v>
      </c>
      <c r="C1247" s="4">
        <v>1.0577272</v>
      </c>
      <c r="D1247" s="4">
        <v>-29.345724999999998</v>
      </c>
      <c r="E1247" s="4">
        <f>((-38.472003/(10/9))+-10.5)+-0.4</f>
        <v>-45.524802699999995</v>
      </c>
      <c r="F1247" s="4">
        <f>((-0.58465117*(1.3/1.5))*0.6)-0.3</f>
        <v>-0.60401860839999999</v>
      </c>
    </row>
    <row r="1248" spans="1:6" x14ac:dyDescent="0.4">
      <c r="A1248" s="4">
        <v>1090.4565500000001</v>
      </c>
      <c r="B1248" s="4">
        <v>1.0390857</v>
      </c>
      <c r="C1248" s="4">
        <v>1.0578878</v>
      </c>
      <c r="D1248" s="4">
        <v>-29.344605999999999</v>
      </c>
      <c r="E1248" s="4">
        <f>((-38.4135075/(10/9))+-10.5)+-0.4</f>
        <v>-45.472156749999996</v>
      </c>
      <c r="F1248" s="4">
        <f>((-0.58494788*(1.3/1.5))*0.6)-0.3</f>
        <v>-0.60417289760000004</v>
      </c>
    </row>
    <row r="1249" spans="1:6" x14ac:dyDescent="0.4">
      <c r="A1249" s="4">
        <v>1091.3314750000002</v>
      </c>
      <c r="B1249" s="4">
        <v>1.0392014999999999</v>
      </c>
      <c r="C1249" s="4">
        <v>1.0578325</v>
      </c>
      <c r="D1249" s="4">
        <v>-29.343332999999998</v>
      </c>
      <c r="E1249" s="4">
        <f>((-38.4868377/(10/9))+-10.5)+-0.4</f>
        <v>-45.53815393</v>
      </c>
      <c r="F1249" s="4">
        <f>((-0.58511424*(1.3/1.5))*0.6)-0.3</f>
        <v>-0.60425940480000007</v>
      </c>
    </row>
    <row r="1250" spans="1:6" x14ac:dyDescent="0.4">
      <c r="A1250" s="4">
        <v>1092.2063999999998</v>
      </c>
      <c r="B1250" s="4">
        <v>1.0393410000000001</v>
      </c>
      <c r="C1250" s="4">
        <v>1.0581429</v>
      </c>
      <c r="D1250" s="4">
        <v>-29.342545999999999</v>
      </c>
      <c r="E1250" s="4">
        <f>((-38.4121818/(10/9))+-10.5)+-0.4</f>
        <v>-45.470963619999999</v>
      </c>
      <c r="F1250" s="4">
        <f>((-0.5852592*(1.3/1.5))*0.6)-0.3</f>
        <v>-0.60433478399999996</v>
      </c>
    </row>
    <row r="1251" spans="1:6" x14ac:dyDescent="0.4">
      <c r="A1251" s="4">
        <v>1093.0813249999999</v>
      </c>
      <c r="B1251" s="4">
        <v>1.0392060000000001</v>
      </c>
      <c r="C1251" s="4">
        <v>1.0580533999999999</v>
      </c>
      <c r="D1251" s="4">
        <v>-29.341470000000001</v>
      </c>
      <c r="E1251" s="4">
        <f>((-38.4013674/(10/9))+-10.5)+-0.4</f>
        <v>-45.461230659999998</v>
      </c>
      <c r="F1251" s="4">
        <f>((-0.58543026*(1.3/1.5))*0.6)-0.3</f>
        <v>-0.60442373519999992</v>
      </c>
    </row>
    <row r="1252" spans="1:6" x14ac:dyDescent="0.4">
      <c r="A1252" s="4">
        <v>1093.95625</v>
      </c>
      <c r="B1252" s="4">
        <v>1.0393473</v>
      </c>
      <c r="C1252" s="4">
        <v>1.0585232</v>
      </c>
      <c r="D1252" s="4">
        <v>-29.340284</v>
      </c>
      <c r="E1252" s="4">
        <f>((-38.476305/(10/9))+-10.5)+-0.4</f>
        <v>-45.528674500000001</v>
      </c>
      <c r="F1252" s="4">
        <f>((-0.58567953*(1.3/1.5))*0.6)-0.3</f>
        <v>-0.60455335560000001</v>
      </c>
    </row>
    <row r="1253" spans="1:6" x14ac:dyDescent="0.4">
      <c r="A1253" s="4">
        <v>1094.831175</v>
      </c>
      <c r="B1253" s="4">
        <v>1.0395112</v>
      </c>
      <c r="C1253" s="4">
        <v>1.0584182</v>
      </c>
      <c r="D1253" s="4">
        <v>-29.339631000000001</v>
      </c>
      <c r="E1253" s="4">
        <f>((-38.4103215/(10/9))+-10.5)+-0.4</f>
        <v>-45.469289349999997</v>
      </c>
      <c r="F1253" s="4">
        <f>((-0.58594453*(1.3/1.5))*0.6)-0.3</f>
        <v>-0.60469115560000009</v>
      </c>
    </row>
    <row r="1254" spans="1:6" x14ac:dyDescent="0.4">
      <c r="A1254" s="4">
        <v>1095.7061000000001</v>
      </c>
      <c r="B1254" s="4">
        <v>1.039525</v>
      </c>
      <c r="C1254" s="4">
        <v>1.0585500999999999</v>
      </c>
      <c r="D1254" s="4">
        <v>-29.338616999999999</v>
      </c>
      <c r="E1254" s="4">
        <f>((-38.3365656/(10/9))+-10.5)+-0.4</f>
        <v>-45.402909039999997</v>
      </c>
      <c r="F1254" s="4">
        <f>((-0.58620334*(1.3/1.5))*0.6)-0.3</f>
        <v>-0.60482573679999996</v>
      </c>
    </row>
    <row r="1255" spans="1:6" x14ac:dyDescent="0.4">
      <c r="A1255" s="4">
        <v>1096.581025</v>
      </c>
      <c r="B1255" s="4">
        <v>1.0395490999999999</v>
      </c>
      <c r="C1255" s="4">
        <v>1.0587381</v>
      </c>
      <c r="D1255" s="4">
        <v>-29.337785</v>
      </c>
      <c r="E1255" s="4">
        <f>((-38.4793398/(10/9))+-10.5)+-0.4</f>
        <v>-45.531405819999996</v>
      </c>
      <c r="F1255" s="4">
        <f>((-0.58643168*(1.3/1.5))*0.6)-0.3</f>
        <v>-0.60494447360000003</v>
      </c>
    </row>
    <row r="1256" spans="1:6" x14ac:dyDescent="0.4">
      <c r="A1256" s="4">
        <v>1097.45595</v>
      </c>
      <c r="B1256" s="4">
        <v>1.0394851000000001</v>
      </c>
      <c r="C1256" s="4">
        <v>1.0587439999999999</v>
      </c>
      <c r="D1256" s="4">
        <v>-29.337382999999999</v>
      </c>
      <c r="E1256" s="4">
        <f>((-38.3772321/(10/9))+-10.5)+-0.4</f>
        <v>-45.439508889999999</v>
      </c>
      <c r="F1256" s="4">
        <f>((-0.58670235*(1.3/1.5))*0.6)-0.3</f>
        <v>-0.60508522200000003</v>
      </c>
    </row>
    <row r="1257" spans="1:6" x14ac:dyDescent="0.4">
      <c r="A1257" s="4">
        <v>1098.3308750000001</v>
      </c>
      <c r="B1257" s="4">
        <v>1.0393927000000001</v>
      </c>
      <c r="C1257" s="4">
        <v>1.0585880000000001</v>
      </c>
      <c r="D1257" s="4">
        <v>-29.336576000000001</v>
      </c>
      <c r="E1257" s="4">
        <f>((-38.3913189/(10/9))+-10.5)+-0.4</f>
        <v>-45.452187009999996</v>
      </c>
      <c r="F1257" s="4">
        <f>((-0.58696288*(1.3/1.5))*0.6)-0.3</f>
        <v>-0.60522069759999997</v>
      </c>
    </row>
    <row r="1258" spans="1:6" x14ac:dyDescent="0.4">
      <c r="A1258" s="4">
        <v>1099.2058</v>
      </c>
      <c r="B1258" s="4">
        <v>1.0395471999999999</v>
      </c>
      <c r="C1258" s="4">
        <v>1.0588092</v>
      </c>
      <c r="D1258" s="4">
        <v>-29.335984</v>
      </c>
      <c r="E1258" s="4">
        <f>((-38.3757354/(10/9))+-10.5)+-0.4</f>
        <v>-45.438161860000001</v>
      </c>
      <c r="F1258" s="4">
        <f>((-0.58722281*(1.3/1.5))*0.6)-0.3</f>
        <v>-0.60535586120000007</v>
      </c>
    </row>
    <row r="1259" spans="1:6" x14ac:dyDescent="0.4">
      <c r="A1259" s="4">
        <v>1100.080725</v>
      </c>
      <c r="B1259" s="4">
        <v>1.0394988000000001</v>
      </c>
      <c r="C1259" s="4">
        <v>1.0590191</v>
      </c>
      <c r="D1259" s="4">
        <v>-29.335397</v>
      </c>
      <c r="E1259" s="4">
        <f>((-38.3835834/(10/9))+-10.5)+-0.4</f>
        <v>-45.445225059999999</v>
      </c>
      <c r="F1259" s="4">
        <f>((-0.58742982*(1.3/1.5))*0.6)-0.3</f>
        <v>-0.60546350640000002</v>
      </c>
    </row>
    <row r="1260" spans="1:6" x14ac:dyDescent="0.4">
      <c r="A1260" s="4">
        <v>1100.9556499999999</v>
      </c>
      <c r="B1260" s="4">
        <v>1.0395888</v>
      </c>
      <c r="C1260" s="4">
        <v>1.0590995999999999</v>
      </c>
      <c r="D1260" s="4">
        <v>-29.334813</v>
      </c>
      <c r="E1260" s="4">
        <f>((-38.4309693/(10/9))+-10.5)+-0.4</f>
        <v>-45.487872369999998</v>
      </c>
      <c r="F1260" s="4">
        <f>((-0.58765578*(1.3/1.5))*0.6)-0.3</f>
        <v>-0.60558100559999994</v>
      </c>
    </row>
    <row r="1261" spans="1:6" x14ac:dyDescent="0.4">
      <c r="A1261" s="4">
        <v>1101.830575</v>
      </c>
      <c r="B1261" s="4">
        <v>1.0396996999999999</v>
      </c>
      <c r="C1261" s="4">
        <v>1.0590259</v>
      </c>
      <c r="D1261" s="4">
        <v>-29.334232</v>
      </c>
      <c r="E1261" s="4">
        <f>((-38.349234/(10/9))+-10.5)+-0.4</f>
        <v>-45.4143106</v>
      </c>
      <c r="F1261" s="4">
        <f>((-0.58800483*(1.3/1.5))*0.6)-0.3</f>
        <v>-0.60576251160000005</v>
      </c>
    </row>
    <row r="1262" spans="1:6" x14ac:dyDescent="0.4">
      <c r="A1262" s="4">
        <v>1102.7055</v>
      </c>
      <c r="B1262" s="4">
        <v>1.0395169</v>
      </c>
      <c r="C1262" s="4">
        <v>1.0590907000000001</v>
      </c>
      <c r="D1262" s="4">
        <v>-29.333504999999999</v>
      </c>
      <c r="E1262" s="4">
        <f>((-38.3150772/(10/9))+-10.5)+-0.4</f>
        <v>-45.383569479999991</v>
      </c>
      <c r="F1262" s="4">
        <f>((-0.58834803*(1.3/1.5))*0.6)-0.3</f>
        <v>-0.60594097560000004</v>
      </c>
    </row>
    <row r="1263" spans="1:6" x14ac:dyDescent="0.4">
      <c r="A1263" s="4">
        <v>1103.5804250000001</v>
      </c>
      <c r="B1263" s="4">
        <v>1.0399362000000001</v>
      </c>
      <c r="C1263" s="4">
        <v>1.0596355</v>
      </c>
      <c r="D1263" s="4">
        <v>-29.332757000000001</v>
      </c>
      <c r="E1263" s="4">
        <f>((-38.3607801/(10/9))+-10.5)+-0.4</f>
        <v>-45.424702089999997</v>
      </c>
      <c r="F1263" s="4">
        <f>((-0.58867455*(1.3/1.5))*0.6)-0.3</f>
        <v>-0.60611076600000002</v>
      </c>
    </row>
    <row r="1264" spans="1:6" x14ac:dyDescent="0.4">
      <c r="A1264" s="4">
        <v>1104.4553500000002</v>
      </c>
      <c r="B1264" s="4">
        <v>1.0397171999999999</v>
      </c>
      <c r="C1264" s="4">
        <v>1.0594697</v>
      </c>
      <c r="D1264" s="4">
        <v>-29.332245999999998</v>
      </c>
      <c r="E1264" s="4">
        <f>((-38.3129379/(10/9))+-10.5)+-0.4</f>
        <v>-45.381644109999996</v>
      </c>
      <c r="F1264" s="4">
        <f>((-0.58897531*(1.3/1.5))*0.6)-0.3</f>
        <v>-0.60626716120000002</v>
      </c>
    </row>
    <row r="1265" spans="1:6" x14ac:dyDescent="0.4">
      <c r="A1265" s="4">
        <v>1105.3302749999998</v>
      </c>
      <c r="B1265" s="4">
        <v>1.0398563999999999</v>
      </c>
      <c r="C1265" s="4">
        <v>1.0596601000000001</v>
      </c>
      <c r="D1265" s="4">
        <v>-29.332172</v>
      </c>
      <c r="E1265" s="4">
        <f>((-38.2952295/(10/9))+-10.5)+-0.4</f>
        <v>-45.365706549999992</v>
      </c>
      <c r="F1265" s="4">
        <f>((-0.58938646*(1.3/1.5))*0.6)-0.3</f>
        <v>-0.6064809592</v>
      </c>
    </row>
    <row r="1266" spans="1:6" x14ac:dyDescent="0.4">
      <c r="A1266" s="4">
        <v>1106.2051999999999</v>
      </c>
      <c r="B1266" s="4">
        <v>1.0398860000000001</v>
      </c>
      <c r="C1266" s="4">
        <v>1.0596205999999999</v>
      </c>
      <c r="D1266" s="4">
        <v>-29.331783999999999</v>
      </c>
      <c r="E1266" s="4">
        <f>((-38.321487/(10/9))+-10.5)+-0.4</f>
        <v>-45.389338299999991</v>
      </c>
      <c r="F1266" s="4">
        <f>((-0.58976007*(1.3/1.5))*0.6)-0.3</f>
        <v>-0.60667523639999998</v>
      </c>
    </row>
    <row r="1267" spans="1:6" x14ac:dyDescent="0.4">
      <c r="A1267" s="4">
        <v>1107.080125</v>
      </c>
      <c r="B1267" s="4">
        <v>1.0399335999999999</v>
      </c>
      <c r="C1267" s="4">
        <v>1.0596049999999999</v>
      </c>
      <c r="D1267" s="4">
        <v>-29.331485000000001</v>
      </c>
      <c r="E1267" s="4">
        <f>((-38.3082759/(10/9))+-10.5)+-0.4</f>
        <v>-45.377448309999998</v>
      </c>
      <c r="F1267" s="4">
        <f>((-0.59010422*(1.3/1.5))*0.6)-0.3</f>
        <v>-0.60685419439999988</v>
      </c>
    </row>
    <row r="1268" spans="1:6" x14ac:dyDescent="0.4">
      <c r="A1268" s="4">
        <v>1107.95505</v>
      </c>
      <c r="B1268" s="4">
        <v>1.0400518000000001</v>
      </c>
      <c r="C1268" s="4">
        <v>1.0598666999999999</v>
      </c>
      <c r="D1268" s="4">
        <v>-29.331146999999998</v>
      </c>
      <c r="E1268" s="4">
        <f>((-38.2673961/(10/9))+-10.5)+-0.4</f>
        <v>-45.340656489999994</v>
      </c>
      <c r="F1268" s="4">
        <f>((-0.59043396*(1.3/1.5))*0.6)-0.3</f>
        <v>-0.60702565920000007</v>
      </c>
    </row>
    <row r="1269" spans="1:6" x14ac:dyDescent="0.4">
      <c r="A1269" s="4">
        <v>1108.8299750000001</v>
      </c>
      <c r="B1269" s="4">
        <v>1.0398265</v>
      </c>
      <c r="C1269" s="4">
        <v>1.059979</v>
      </c>
      <c r="D1269" s="4">
        <v>-29.330590000000001</v>
      </c>
      <c r="E1269" s="4">
        <f>((-38.2959675/(10/9))+-10.5)+-0.4</f>
        <v>-45.366370750000002</v>
      </c>
      <c r="F1269" s="4">
        <f>((-0.59076953*(1.3/1.5))*0.6)-0.3</f>
        <v>-0.60720015559999996</v>
      </c>
    </row>
    <row r="1270" spans="1:6" x14ac:dyDescent="0.4">
      <c r="A1270" s="4">
        <v>1109.7049</v>
      </c>
      <c r="B1270" s="4">
        <v>1.0399537999999999</v>
      </c>
      <c r="C1270" s="4">
        <v>1.0600122999999999</v>
      </c>
      <c r="D1270" s="4">
        <v>-29.330128999999999</v>
      </c>
      <c r="E1270" s="4">
        <f>((-38.2662873/(10/9))+-10.5)+-0.4</f>
        <v>-45.339658569999997</v>
      </c>
      <c r="F1270" s="4">
        <f>((-0.59117359*(1.3/1.5))*0.6)-0.3</f>
        <v>-0.60741026679999999</v>
      </c>
    </row>
    <row r="1271" spans="1:6" x14ac:dyDescent="0.4">
      <c r="A1271" s="4">
        <v>1110.579825</v>
      </c>
      <c r="B1271" s="4">
        <v>1.0400593</v>
      </c>
      <c r="C1271" s="4">
        <v>1.0602784000000001</v>
      </c>
      <c r="D1271" s="4">
        <v>-29.329844999999999</v>
      </c>
      <c r="E1271" s="4">
        <f>((-38.2522896/(10/9))+-10.5)+-0.4</f>
        <v>-45.327060639999992</v>
      </c>
      <c r="F1271" s="4">
        <f>((-0.59156114*(1.3/1.5))*0.6)-0.3</f>
        <v>-0.60761179279999999</v>
      </c>
    </row>
    <row r="1272" spans="1:6" x14ac:dyDescent="0.4">
      <c r="A1272" s="4">
        <v>1111.4547500000001</v>
      </c>
      <c r="B1272" s="4">
        <v>1.0402290999999999</v>
      </c>
      <c r="C1272" s="4">
        <v>1.0603749</v>
      </c>
      <c r="D1272" s="4">
        <v>-29.329340999999999</v>
      </c>
      <c r="E1272" s="4">
        <f>((-38.2352985/(10/9))+-10.5)+-0.4</f>
        <v>-45.311768649999998</v>
      </c>
      <c r="F1272" s="4">
        <f>((-0.59196573*(1.3/1.5))*0.6)-0.3</f>
        <v>-0.60782217960000007</v>
      </c>
    </row>
    <row r="1273" spans="1:6" x14ac:dyDescent="0.4">
      <c r="A1273" s="4">
        <v>1112.329675</v>
      </c>
      <c r="B1273" s="4">
        <v>1.0398814999999999</v>
      </c>
      <c r="C1273" s="4">
        <v>1.0604576999999999</v>
      </c>
      <c r="D1273" s="4">
        <v>-29.329001999999999</v>
      </c>
      <c r="E1273" s="4">
        <f>((-38.3363937/(10/9))+-10.5)+-0.4</f>
        <v>-45.40275433</v>
      </c>
      <c r="F1273" s="4">
        <f>((-0.5923779*(1.3/1.5))*0.6)-0.3</f>
        <v>-0.60803650799999998</v>
      </c>
    </row>
    <row r="1274" spans="1:6" x14ac:dyDescent="0.4">
      <c r="A1274" s="4">
        <v>1113.2046</v>
      </c>
      <c r="B1274" s="4">
        <v>1.0402144</v>
      </c>
      <c r="C1274" s="4">
        <v>1.0605503000000001</v>
      </c>
      <c r="D1274" s="4">
        <v>-29.328520999999999</v>
      </c>
      <c r="E1274" s="4">
        <f>((-38.2471398/(10/9))+-10.5)+-0.4</f>
        <v>-45.322425819999999</v>
      </c>
      <c r="F1274" s="4">
        <f>((-0.59275454*(1.3/1.5))*0.6)-0.3</f>
        <v>-0.60823236079999998</v>
      </c>
    </row>
    <row r="1275" spans="1:6" x14ac:dyDescent="0.4">
      <c r="A1275" s="4">
        <v>1114.0795249999999</v>
      </c>
      <c r="B1275" s="4">
        <v>1.0400931</v>
      </c>
      <c r="C1275" s="4">
        <v>1.0606100999999999</v>
      </c>
      <c r="D1275" s="4">
        <v>-29.327946999999998</v>
      </c>
      <c r="E1275" s="4">
        <f>((-38.3052096/(10/9))+-10.5)+-0.4</f>
        <v>-45.374688639999995</v>
      </c>
      <c r="F1275" s="4">
        <f>((-0.59324795*(1.3/1.5))*0.6)-0.3</f>
        <v>-0.60848893399999993</v>
      </c>
    </row>
    <row r="1276" spans="1:6" x14ac:dyDescent="0.4">
      <c r="A1276" s="4">
        <v>1114.95445</v>
      </c>
      <c r="B1276" s="4">
        <v>1.0402849000000001</v>
      </c>
      <c r="C1276" s="4">
        <v>1.0607423</v>
      </c>
      <c r="D1276" s="4">
        <v>-29.327417000000001</v>
      </c>
      <c r="E1276" s="4">
        <f>((-38.2804731/(10/9))+-10.5)+-0.4</f>
        <v>-45.352425789999998</v>
      </c>
      <c r="F1276" s="4">
        <f>((-0.59370738*(1.3/1.5))*0.6)-0.3</f>
        <v>-0.60872783760000004</v>
      </c>
    </row>
    <row r="1277" spans="1:6" x14ac:dyDescent="0.4">
      <c r="A1277" s="4">
        <v>1115.829375</v>
      </c>
      <c r="B1277" s="4">
        <v>1.0400984</v>
      </c>
      <c r="C1277" s="4">
        <v>1.0606145</v>
      </c>
      <c r="D1277" s="4">
        <v>-29.327234999999998</v>
      </c>
      <c r="E1277" s="4">
        <f>((-38.2104801/(10/9))+-10.5)+-0.4</f>
        <v>-45.289432089999998</v>
      </c>
      <c r="F1277" s="4">
        <f>((-0.59417951*(1.3/1.5))*0.6)-0.3</f>
        <v>-0.60897334520000002</v>
      </c>
    </row>
    <row r="1278" spans="1:6" x14ac:dyDescent="0.4">
      <c r="A1278" s="4">
        <v>1116.7043000000001</v>
      </c>
      <c r="B1278" s="4">
        <v>1.0400723000000001</v>
      </c>
      <c r="C1278" s="4">
        <v>1.060703</v>
      </c>
      <c r="D1278" s="4">
        <v>-29.326881</v>
      </c>
      <c r="E1278" s="4">
        <f>((-38.3117499/(10/9))+-10.5)+-0.4</f>
        <v>-45.38057491</v>
      </c>
      <c r="F1278" s="4">
        <f>((-0.594643*(1.3/1.5))*0.6)-0.3</f>
        <v>-0.60921435999999995</v>
      </c>
    </row>
    <row r="1279" spans="1:6" x14ac:dyDescent="0.4">
      <c r="A1279" s="4">
        <v>1117.5792250000002</v>
      </c>
      <c r="B1279" s="4">
        <v>1.0402393000000001</v>
      </c>
      <c r="C1279" s="4">
        <v>1.060948</v>
      </c>
      <c r="D1279" s="4">
        <v>-29.326944999999998</v>
      </c>
      <c r="E1279" s="4">
        <f>((-38.2370571/(10/9))+-10.5)+-0.4</f>
        <v>-45.313351390000001</v>
      </c>
      <c r="F1279" s="4">
        <f>((-0.595043*(1.3/1.5))*0.6)-0.3</f>
        <v>-0.60942235999999994</v>
      </c>
    </row>
    <row r="1280" spans="1:6" x14ac:dyDescent="0.4">
      <c r="A1280" s="4">
        <v>1118.4541499999998</v>
      </c>
      <c r="B1280" s="4">
        <v>1.0403472</v>
      </c>
      <c r="C1280" s="4">
        <v>1.0610006000000001</v>
      </c>
      <c r="D1280" s="4">
        <v>-29.326889999999999</v>
      </c>
      <c r="E1280" s="4">
        <f>((-38.1873987/(10/9))+-10.5)+-0.4</f>
        <v>-45.26865883</v>
      </c>
      <c r="F1280" s="4">
        <f>((-0.59548181*(1.3/1.5))*0.6)-0.3</f>
        <v>-0.60965054119999995</v>
      </c>
    </row>
    <row r="1281" spans="1:6" x14ac:dyDescent="0.4">
      <c r="A1281" s="4">
        <v>1119.3290749999999</v>
      </c>
      <c r="B1281" s="4">
        <v>1.0404019</v>
      </c>
      <c r="C1281" s="4">
        <v>1.0610344</v>
      </c>
      <c r="D1281" s="4">
        <v>-29.326301000000001</v>
      </c>
      <c r="E1281" s="4">
        <f>((-38.1508074/(10/9))+-10.5)+-0.4</f>
        <v>-45.235726659999997</v>
      </c>
      <c r="F1281" s="4">
        <f>((-0.59595442*(1.3/1.5))*0.6)-0.3</f>
        <v>-0.60989629840000004</v>
      </c>
    </row>
    <row r="1282" spans="1:6" x14ac:dyDescent="0.4">
      <c r="A1282" s="4">
        <v>1120.204</v>
      </c>
      <c r="B1282" s="4">
        <v>1.0404918000000001</v>
      </c>
      <c r="C1282" s="4">
        <v>1.0612942000000001</v>
      </c>
      <c r="D1282" s="4">
        <v>-29.325907999999998</v>
      </c>
      <c r="E1282" s="4">
        <f>((-38.1709188/(10/9))+-10.5)+-0.4</f>
        <v>-45.253826920000002</v>
      </c>
      <c r="F1282" s="4">
        <f>((-0.5965026*(1.3/1.5))*0.6)-0.3</f>
        <v>-0.61018135200000001</v>
      </c>
    </row>
    <row r="1283" spans="1:6" x14ac:dyDescent="0.4">
      <c r="A1283" s="4">
        <v>1121.078925</v>
      </c>
      <c r="B1283" s="4">
        <v>1.0404211000000001</v>
      </c>
      <c r="C1283" s="4">
        <v>1.0613664</v>
      </c>
      <c r="D1283" s="4">
        <v>-29.325707999999999</v>
      </c>
      <c r="E1283" s="4">
        <f>((-38.2604508/(10/9))+-10.5)+-0.4</f>
        <v>-45.334405719999999</v>
      </c>
      <c r="F1283" s="4">
        <f>((-0.59701616*(1.3/1.5))*0.6)-0.3</f>
        <v>-0.61044840319999993</v>
      </c>
    </row>
    <row r="1284" spans="1:6" x14ac:dyDescent="0.4">
      <c r="A1284" s="4">
        <v>1121.9538500000001</v>
      </c>
      <c r="B1284" s="4">
        <v>1.0404831000000001</v>
      </c>
      <c r="C1284" s="4">
        <v>1.0614816</v>
      </c>
      <c r="D1284" s="4">
        <v>-29.325422</v>
      </c>
      <c r="E1284" s="4">
        <f>((-38.1759282/(10/9))+-10.5)+-0.4</f>
        <v>-45.258335379999998</v>
      </c>
      <c r="F1284" s="4">
        <f>((-0.59752172*(1.3/1.5))*0.6)-0.3</f>
        <v>-0.61071129439999994</v>
      </c>
    </row>
    <row r="1285" spans="1:6" x14ac:dyDescent="0.4">
      <c r="A1285" s="4">
        <v>1122.828775</v>
      </c>
      <c r="B1285" s="4">
        <v>1.0405498</v>
      </c>
      <c r="C1285" s="4">
        <v>1.0615422000000001</v>
      </c>
      <c r="D1285" s="4">
        <v>-29.325123999999999</v>
      </c>
      <c r="E1285" s="4">
        <f>((-38.2686525/(10/9))+-10.5)+-0.4</f>
        <v>-45.341787249999996</v>
      </c>
      <c r="F1285" s="4">
        <f>((-0.59800822*(1.3/1.5))*0.6)-0.3</f>
        <v>-0.61096427440000001</v>
      </c>
    </row>
    <row r="1286" spans="1:6" x14ac:dyDescent="0.4">
      <c r="A1286" s="4">
        <v>1123.7037</v>
      </c>
      <c r="B1286" s="4">
        <v>1.0406500000000001</v>
      </c>
      <c r="C1286" s="4">
        <v>1.0618251999999999</v>
      </c>
      <c r="D1286" s="4">
        <v>-29.324822999999999</v>
      </c>
      <c r="E1286" s="4">
        <f>((-38.1258306/(10/9))+-10.5)+-0.4</f>
        <v>-45.213247539999998</v>
      </c>
      <c r="F1286" s="4">
        <f>((-0.59852439*(1.3/1.5))*0.6)-0.3</f>
        <v>-0.61123268280000009</v>
      </c>
    </row>
    <row r="1287" spans="1:6" x14ac:dyDescent="0.4">
      <c r="A1287" s="4">
        <v>1124.5786250000001</v>
      </c>
      <c r="B1287" s="4">
        <v>1.0406454999999999</v>
      </c>
      <c r="C1287" s="4">
        <v>1.0616976</v>
      </c>
      <c r="D1287" s="4">
        <v>-29.324701999999998</v>
      </c>
      <c r="E1287" s="4">
        <f>((-38.1795876/(10/9))+-10.5)+-0.4</f>
        <v>-45.261628839999993</v>
      </c>
      <c r="F1287" s="4">
        <f>((-0.59911513*(1.3/1.5))*0.6)-0.3</f>
        <v>-0.61153986760000001</v>
      </c>
    </row>
    <row r="1288" spans="1:6" x14ac:dyDescent="0.4">
      <c r="A1288" s="4">
        <v>1125.45355</v>
      </c>
      <c r="B1288" s="4">
        <v>1.0405698000000001</v>
      </c>
      <c r="C1288" s="4">
        <v>1.061836</v>
      </c>
      <c r="D1288" s="4">
        <v>-29.324860999999999</v>
      </c>
      <c r="E1288" s="4">
        <f>((-38.2238109/(10/9))+-10.5)+-0.4</f>
        <v>-45.301429809999995</v>
      </c>
      <c r="F1288" s="4">
        <f>((-0.59965014*(1.3/1.5))*0.6)-0.3</f>
        <v>-0.6118180728</v>
      </c>
    </row>
    <row r="1289" spans="1:6" x14ac:dyDescent="0.4">
      <c r="A1289" s="4">
        <v>1126.328475</v>
      </c>
      <c r="B1289" s="4">
        <v>1.0405755999999999</v>
      </c>
      <c r="C1289" s="4">
        <v>1.0620155</v>
      </c>
      <c r="D1289" s="4">
        <v>-29.324666000000001</v>
      </c>
      <c r="E1289" s="4">
        <f>((-38.2231008/(10/9))+-10.5)+-0.4</f>
        <v>-45.300790719999995</v>
      </c>
      <c r="F1289" s="4">
        <f>((-0.6001758*(1.3/1.5))*0.6)-0.3</f>
        <v>-0.61209141600000005</v>
      </c>
    </row>
    <row r="1290" spans="1:6" x14ac:dyDescent="0.4">
      <c r="A1290" s="4">
        <v>1127.2033999999999</v>
      </c>
      <c r="B1290" s="4">
        <v>1.0409794000000001</v>
      </c>
      <c r="C1290" s="4">
        <v>1.0621054999999999</v>
      </c>
      <c r="D1290" s="4">
        <v>-29.324413</v>
      </c>
      <c r="E1290" s="4">
        <f>((-38.2198149/(10/9))+-10.5)+-0.4</f>
        <v>-45.297833410000003</v>
      </c>
      <c r="F1290" s="4">
        <f>((-0.60074276*(1.3/1.5))*0.6)-0.3</f>
        <v>-0.61238623520000002</v>
      </c>
    </row>
    <row r="1291" spans="1:6" x14ac:dyDescent="0.4">
      <c r="A1291" s="4">
        <v>1128.0783249999999</v>
      </c>
      <c r="B1291" s="4">
        <v>1.0409653000000001</v>
      </c>
      <c r="C1291" s="4">
        <v>1.0622175</v>
      </c>
      <c r="D1291" s="4">
        <v>-29.324462</v>
      </c>
      <c r="E1291" s="4">
        <f>((-38.1939453/(10/9))+-10.5)+-0.4</f>
        <v>-45.274550769999998</v>
      </c>
      <c r="F1291" s="4">
        <f>((-0.60133874*(1.3/1.5))*0.6)-0.3</f>
        <v>-0.61269614480000001</v>
      </c>
    </row>
    <row r="1292" spans="1:6" x14ac:dyDescent="0.4">
      <c r="A1292" s="4">
        <v>1128.95325</v>
      </c>
      <c r="B1292" s="4">
        <v>1.0408618000000001</v>
      </c>
      <c r="C1292" s="4">
        <v>1.0623127000000001</v>
      </c>
      <c r="D1292" s="4">
        <v>-29.323937999999998</v>
      </c>
      <c r="E1292" s="4">
        <f>((-38.1231837/(10/9))+-10.5)+-0.4</f>
        <v>-45.210865329999997</v>
      </c>
      <c r="F1292" s="4">
        <f>((-0.60188568*(1.3/1.5))*0.6)-0.3</f>
        <v>-0.61298055359999992</v>
      </c>
    </row>
    <row r="1293" spans="1:6" x14ac:dyDescent="0.4">
      <c r="A1293" s="4">
        <v>1129.8281750000001</v>
      </c>
      <c r="B1293" s="4">
        <v>1.0407906</v>
      </c>
      <c r="C1293" s="4">
        <v>1.0623927</v>
      </c>
      <c r="D1293" s="4">
        <v>-29.323867</v>
      </c>
      <c r="E1293" s="4">
        <f>((-38.1350898/(10/9))+-10.5)+-0.4</f>
        <v>-45.22158082</v>
      </c>
      <c r="F1293" s="4">
        <f>((-0.60248554*(1.3/1.5))*0.6)-0.3</f>
        <v>-0.61329248079999998</v>
      </c>
    </row>
    <row r="1294" spans="1:6" x14ac:dyDescent="0.4">
      <c r="A1294" s="4">
        <v>1130.7031000000002</v>
      </c>
      <c r="B1294" s="4">
        <v>1.0407422</v>
      </c>
      <c r="C1294" s="4">
        <v>1.0625389000000001</v>
      </c>
      <c r="D1294" s="4">
        <v>-29.323218999999998</v>
      </c>
      <c r="E1294" s="4">
        <f>((-38.111373/(10/9))+-10.5)+-0.4</f>
        <v>-45.2002357</v>
      </c>
      <c r="F1294" s="4">
        <f>((-0.60313451*(1.3/1.5))*0.6)-0.3</f>
        <v>-0.61362994519999992</v>
      </c>
    </row>
    <row r="1295" spans="1:6" x14ac:dyDescent="0.4">
      <c r="A1295" s="4">
        <v>1131.5780249999998</v>
      </c>
      <c r="B1295" s="4">
        <v>1.0410097</v>
      </c>
      <c r="C1295" s="4">
        <v>1.0626964999999999</v>
      </c>
      <c r="D1295" s="4">
        <v>-29.322745999999999</v>
      </c>
      <c r="E1295" s="4">
        <f>((-38.188161/(10/9))+-10.5)+-0.4</f>
        <v>-45.2693449</v>
      </c>
      <c r="F1295" s="4">
        <f>((-0.60380912*(1.3/1.5))*0.6)-0.3</f>
        <v>-0.6139807424</v>
      </c>
    </row>
    <row r="1296" spans="1:6" x14ac:dyDescent="0.4">
      <c r="A1296" s="4">
        <v>1132.4529499999999</v>
      </c>
      <c r="B1296" s="4">
        <v>1.0410035</v>
      </c>
      <c r="C1296" s="4">
        <v>1.0627389</v>
      </c>
      <c r="D1296" s="4">
        <v>-29.322292000000001</v>
      </c>
      <c r="E1296" s="4">
        <f>((-38.1436695/(10/9))+-10.5)+-0.4</f>
        <v>-45.22930255</v>
      </c>
      <c r="F1296" s="4">
        <f>((-0.60446012*(1.3/1.5))*0.6)-0.3</f>
        <v>-0.61431926240000001</v>
      </c>
    </row>
    <row r="1297" spans="1:6" x14ac:dyDescent="0.4">
      <c r="A1297" s="4">
        <v>1133.3278749999999</v>
      </c>
      <c r="B1297" s="4">
        <v>1.0410107</v>
      </c>
      <c r="C1297" s="4">
        <v>1.0628207999999999</v>
      </c>
      <c r="D1297" s="4">
        <v>-29.321797999999998</v>
      </c>
      <c r="E1297" s="4">
        <f>((-38.1393162/(10/9))+-10.5)+-0.4</f>
        <v>-45.225384579999997</v>
      </c>
      <c r="F1297" s="4">
        <f>((-0.60512108*(1.3/1.5))*0.6)-0.3</f>
        <v>-0.6146629616</v>
      </c>
    </row>
    <row r="1298" spans="1:6" x14ac:dyDescent="0.4">
      <c r="A1298" s="4">
        <v>1134.2028</v>
      </c>
      <c r="B1298" s="4">
        <v>1.0410174000000001</v>
      </c>
      <c r="C1298" s="4">
        <v>1.0629124999999999</v>
      </c>
      <c r="D1298" s="4">
        <v>-29.321297999999999</v>
      </c>
      <c r="E1298" s="4">
        <f>((-38.1284091/(10/9))+-10.5)+-0.4</f>
        <v>-45.215568189999999</v>
      </c>
      <c r="F1298" s="4">
        <f>((-0.60583729*(1.3/1.5))*0.6)-0.3</f>
        <v>-0.61503539079999991</v>
      </c>
    </row>
    <row r="1299" spans="1:6" x14ac:dyDescent="0.4">
      <c r="A1299" s="4">
        <v>1135.0777250000001</v>
      </c>
      <c r="B1299" s="4">
        <v>1.0412432</v>
      </c>
      <c r="C1299" s="4">
        <v>1.0630237</v>
      </c>
      <c r="D1299" s="4">
        <v>-29.320913000000001</v>
      </c>
      <c r="E1299" s="4">
        <f>((-38.0827296/(10/9))+-10.5)+-0.4</f>
        <v>-45.174456639999995</v>
      </c>
      <c r="F1299" s="4">
        <f>((-0.60645056*(1.3/1.5))*0.6)-0.3</f>
        <v>-0.61535429119999996</v>
      </c>
    </row>
    <row r="1300" spans="1:6" x14ac:dyDescent="0.4">
      <c r="A1300" s="4">
        <v>1135.9526499999999</v>
      </c>
      <c r="B1300" s="4">
        <v>1.0411725000000001</v>
      </c>
      <c r="C1300" s="4">
        <v>1.0630276999999999</v>
      </c>
      <c r="D1300" s="4">
        <v>-29.320180000000001</v>
      </c>
      <c r="E1300" s="4">
        <f>((-38.1139614/(10/9))+-10.5)+-0.4</f>
        <v>-45.20256526</v>
      </c>
      <c r="F1300" s="4">
        <f>((-0.60708141*(1.3/1.5))*0.6)-0.3</f>
        <v>-0.61568233319999999</v>
      </c>
    </row>
    <row r="1301" spans="1:6" x14ac:dyDescent="0.4">
      <c r="A1301" s="4">
        <v>1136.827575</v>
      </c>
      <c r="B1301" s="4">
        <v>1.041234</v>
      </c>
      <c r="C1301" s="4">
        <v>1.0634081</v>
      </c>
      <c r="D1301" s="4">
        <v>-29.319827</v>
      </c>
      <c r="E1301" s="4">
        <f>((-38.028474/(10/9))+-10.5)+-0.4</f>
        <v>-45.125626599999997</v>
      </c>
      <c r="F1301" s="4">
        <f>((-0.60763401*(1.3/1.5))*0.6)-0.3</f>
        <v>-0.61596968519999995</v>
      </c>
    </row>
    <row r="1302" spans="1:6" x14ac:dyDescent="0.4">
      <c r="A1302" s="4">
        <v>1137.7025000000001</v>
      </c>
      <c r="B1302" s="4">
        <v>1.0412952</v>
      </c>
      <c r="C1302" s="4">
        <v>1.0633842</v>
      </c>
      <c r="D1302" s="4">
        <v>-29.319195999999998</v>
      </c>
      <c r="E1302" s="4">
        <f>((-38.0187243/(10/9))+-10.5)+-0.4</f>
        <v>-45.116851869999998</v>
      </c>
      <c r="F1302" s="4">
        <f>((-0.60828948*(1.3/1.5))*0.6)-0.3</f>
        <v>-0.61631052959999999</v>
      </c>
    </row>
    <row r="1303" spans="1:6" x14ac:dyDescent="0.4">
      <c r="A1303" s="4">
        <v>1138.5774249999999</v>
      </c>
      <c r="B1303" s="4">
        <v>1.0411831</v>
      </c>
      <c r="C1303" s="4">
        <v>1.0636317</v>
      </c>
      <c r="D1303" s="4">
        <v>-29.318331999999998</v>
      </c>
      <c r="E1303" s="4">
        <f>((-38.0476458/(10/9))+-10.5)+-0.4</f>
        <v>-45.142881219999992</v>
      </c>
      <c r="F1303" s="4">
        <f>((-0.60892111*(1.3/1.5))*0.6)-0.3</f>
        <v>-0.61663897720000005</v>
      </c>
    </row>
    <row r="1304" spans="1:6" x14ac:dyDescent="0.4">
      <c r="A1304" s="4">
        <v>1139.45235</v>
      </c>
      <c r="B1304" s="4">
        <v>1.0411884</v>
      </c>
      <c r="C1304" s="4">
        <v>1.0636733</v>
      </c>
      <c r="D1304" s="4">
        <v>-29.317367000000001</v>
      </c>
      <c r="E1304" s="4">
        <f>((-38.0539251/(10/9))+-10.5)+-0.4</f>
        <v>-45.148532589999995</v>
      </c>
      <c r="F1304" s="4">
        <f>((-0.60950631*(1.3/1.5))*0.6)-0.3</f>
        <v>-0.61694328119999997</v>
      </c>
    </row>
    <row r="1305" spans="1:6" x14ac:dyDescent="0.4">
      <c r="A1305" s="4">
        <v>1140.3272749999999</v>
      </c>
      <c r="B1305" s="4">
        <v>1.0414053000000001</v>
      </c>
      <c r="C1305" s="4">
        <v>1.0637448</v>
      </c>
      <c r="D1305" s="4">
        <v>-29.317027</v>
      </c>
      <c r="E1305" s="4">
        <f>((-38.0333493/(10/9))+-10.5)+-0.4</f>
        <v>-45.130014369999998</v>
      </c>
      <c r="F1305" s="4">
        <f>((-0.6101234*(1.3/1.5))*0.6)-0.3</f>
        <v>-0.61726416799999995</v>
      </c>
    </row>
    <row r="1306" spans="1:6" x14ac:dyDescent="0.4">
      <c r="A1306" s="4">
        <v>1141.2021999999999</v>
      </c>
      <c r="B1306" s="4">
        <v>1.0413816</v>
      </c>
      <c r="C1306" s="4">
        <v>1.0638894999999999</v>
      </c>
      <c r="D1306" s="4">
        <v>-29.316538999999999</v>
      </c>
      <c r="E1306" s="4">
        <f>((-38.0036691/(10/9))+-10.5)+-0.4</f>
        <v>-45.103302190000001</v>
      </c>
      <c r="F1306" s="4">
        <f>((-0.61077309*(1.3/1.5))*0.6)-0.3</f>
        <v>-0.61760200679999999</v>
      </c>
    </row>
    <row r="1307" spans="1:6" x14ac:dyDescent="0.4">
      <c r="A1307" s="4">
        <v>1142.077125</v>
      </c>
      <c r="B1307" s="4">
        <v>1.0414540999999999</v>
      </c>
      <c r="C1307" s="4">
        <v>1.0639441999999999</v>
      </c>
      <c r="D1307" s="4">
        <v>-29.315937999999999</v>
      </c>
      <c r="E1307" s="4">
        <f>((-37.9923327/(10/9))+-10.5)+-0.4</f>
        <v>-45.093099429999995</v>
      </c>
      <c r="F1307" s="4">
        <f>((-0.61145407*(1.3/1.5))*0.6)-0.3</f>
        <v>-0.61795611639999992</v>
      </c>
    </row>
    <row r="1308" spans="1:6" x14ac:dyDescent="0.4">
      <c r="A1308" s="4">
        <v>1142.9520500000001</v>
      </c>
      <c r="B1308" s="4">
        <v>1.0415969</v>
      </c>
      <c r="C1308" s="4">
        <v>1.0642674999999999</v>
      </c>
      <c r="D1308" s="4">
        <v>-29.315131000000001</v>
      </c>
      <c r="E1308" s="4">
        <f>((-37.994283/(10/9))+-10.5)+-0.4</f>
        <v>-45.094854699999999</v>
      </c>
      <c r="F1308" s="4">
        <f>((-0.61206228*(1.3/1.5))*0.6)-0.3</f>
        <v>-0.61827238559999997</v>
      </c>
    </row>
    <row r="1309" spans="1:6" x14ac:dyDescent="0.4">
      <c r="A1309" s="4">
        <v>1143.8269750000002</v>
      </c>
      <c r="B1309" s="4">
        <v>1.0413870000000001</v>
      </c>
      <c r="C1309" s="4">
        <v>1.0640246</v>
      </c>
      <c r="D1309" s="4">
        <v>-29.314342</v>
      </c>
      <c r="E1309" s="4">
        <f>((-38.0766978/(10/9))+-10.5)+-0.4</f>
        <v>-45.169028019999992</v>
      </c>
      <c r="F1309" s="4">
        <f>((-0.61271226*(1.3/1.5))*0.6)-0.3</f>
        <v>-0.61861037520000006</v>
      </c>
    </row>
    <row r="1310" spans="1:6" x14ac:dyDescent="0.4">
      <c r="A1310" s="4">
        <v>1144.7018999999998</v>
      </c>
      <c r="B1310" s="4">
        <v>1.0414956</v>
      </c>
      <c r="C1310" s="4">
        <v>1.0642180000000001</v>
      </c>
      <c r="D1310" s="4">
        <v>-29.313655000000001</v>
      </c>
      <c r="E1310" s="4">
        <f>((-38.0488194/(10/9))+-10.5)+-0.4</f>
        <v>-45.143937459999997</v>
      </c>
      <c r="F1310" s="4">
        <f>((-0.61333209*(1.3/1.5))*0.6)-0.3</f>
        <v>-0.61893268680000002</v>
      </c>
    </row>
    <row r="1311" spans="1:6" x14ac:dyDescent="0.4">
      <c r="A1311" s="4">
        <v>1145.5768249999999</v>
      </c>
      <c r="B1311" s="4">
        <v>1.0414901999999999</v>
      </c>
      <c r="C1311" s="4">
        <v>1.0644435999999999</v>
      </c>
      <c r="D1311" s="4">
        <v>-29.312870999999998</v>
      </c>
      <c r="E1311" s="4">
        <f>((-38.0139588/(10/9))+-10.5)+-0.4</f>
        <v>-45.112562919999995</v>
      </c>
      <c r="F1311" s="4">
        <f>((-0.61395347*(1.3/1.5))*0.6)-0.3</f>
        <v>-0.61925580439999994</v>
      </c>
    </row>
    <row r="1312" spans="1:6" x14ac:dyDescent="0.4">
      <c r="A1312" s="4">
        <v>1146.4517499999999</v>
      </c>
      <c r="B1312" s="4">
        <v>1.0414485</v>
      </c>
      <c r="C1312" s="4">
        <v>1.0645576999999999</v>
      </c>
      <c r="D1312" s="4">
        <v>-29.312628999999998</v>
      </c>
      <c r="E1312" s="4">
        <f>((-38.0126574/(10/9))+-10.5)+-0.4</f>
        <v>-45.111391659999995</v>
      </c>
      <c r="F1312" s="4">
        <f>((-0.61454624*(1.3/1.5))*0.6)-0.3</f>
        <v>-0.61956404480000005</v>
      </c>
    </row>
    <row r="1313" spans="1:6" x14ac:dyDescent="0.4">
      <c r="A1313" s="4">
        <v>1147.326675</v>
      </c>
      <c r="B1313" s="4">
        <v>1.0417111999999999</v>
      </c>
      <c r="C1313" s="4">
        <v>1.0645944000000001</v>
      </c>
      <c r="D1313" s="4">
        <v>-29.312096999999998</v>
      </c>
      <c r="E1313" s="4">
        <f>((-37.9836981/(10/9))+-10.5)+-0.4</f>
        <v>-45.085328289999993</v>
      </c>
      <c r="F1313" s="4">
        <f>((-0.61518466*(1.3/1.5))*0.6)-0.3</f>
        <v>-0.61989602320000003</v>
      </c>
    </row>
    <row r="1314" spans="1:6" x14ac:dyDescent="0.4">
      <c r="A1314" s="4">
        <v>1148.2016000000001</v>
      </c>
      <c r="B1314" s="4">
        <v>1.0417921999999999</v>
      </c>
      <c r="C1314" s="4">
        <v>1.0649085</v>
      </c>
      <c r="D1314" s="4">
        <v>-29.31128</v>
      </c>
      <c r="E1314" s="4">
        <f>((-37.940742/(10/9))+-10.5)+-0.4</f>
        <v>-45.046667799999994</v>
      </c>
      <c r="F1314" s="4">
        <f>((-0.61588198*(1.3/1.5))*0.6)-0.3</f>
        <v>-0.6202586296</v>
      </c>
    </row>
    <row r="1315" spans="1:6" x14ac:dyDescent="0.4">
      <c r="A1315" s="4">
        <v>1149.0765249999999</v>
      </c>
      <c r="B1315" s="4">
        <v>1.0415208</v>
      </c>
      <c r="C1315" s="4">
        <v>1.0647800999999999</v>
      </c>
      <c r="D1315" s="4">
        <v>-29.310399</v>
      </c>
      <c r="E1315" s="4">
        <f>((-37.9886562/(10/9))+-10.5)+-0.4</f>
        <v>-45.089790579999999</v>
      </c>
      <c r="F1315" s="4">
        <f>((-0.61655068*(1.3/1.5))*0.6)-0.3</f>
        <v>-0.62060635360000005</v>
      </c>
    </row>
    <row r="1316" spans="1:6" x14ac:dyDescent="0.4">
      <c r="A1316" s="4">
        <v>1149.95145</v>
      </c>
      <c r="B1316" s="4">
        <v>1.0417721</v>
      </c>
      <c r="C1316" s="4">
        <v>1.0649788</v>
      </c>
      <c r="D1316" s="4">
        <v>-29.309670999999998</v>
      </c>
      <c r="E1316" s="4">
        <f>((-37.9232361/(10/9))+-10.5)+-0.4</f>
        <v>-45.030912489999992</v>
      </c>
      <c r="F1316" s="4">
        <f>((-0.61721081*(1.3/1.5))*0.6)-0.3</f>
        <v>-0.62094962119999997</v>
      </c>
    </row>
    <row r="1317" spans="1:6" x14ac:dyDescent="0.4">
      <c r="A1317" s="4">
        <v>1150.8263750000001</v>
      </c>
      <c r="B1317" s="4">
        <v>1.0416741</v>
      </c>
      <c r="C1317" s="4">
        <v>1.0650849</v>
      </c>
      <c r="D1317" s="4">
        <v>-29.308256999999998</v>
      </c>
      <c r="E1317" s="4">
        <f>((-37.9275651/(10/9))+-10.5)+-0.4</f>
        <v>-45.034808589999997</v>
      </c>
      <c r="F1317" s="4">
        <f>((-0.61783922*(1.3/1.5))*0.6)-0.3</f>
        <v>-0.62127639439999993</v>
      </c>
    </row>
    <row r="1318" spans="1:6" x14ac:dyDescent="0.4">
      <c r="A1318" s="4">
        <v>1151.7012999999999</v>
      </c>
      <c r="B1318" s="4">
        <v>1.041682</v>
      </c>
      <c r="C1318" s="4">
        <v>1.0652055</v>
      </c>
      <c r="D1318" s="4">
        <v>-29.307354999999998</v>
      </c>
      <c r="E1318" s="4">
        <f>((-37.9526103/(10/9))+-10.5)+-0.4</f>
        <v>-45.057349270000003</v>
      </c>
      <c r="F1318" s="4">
        <f>((-0.61848629*(1.3/1.5))*0.6)-0.3</f>
        <v>-0.62161287079999994</v>
      </c>
    </row>
    <row r="1319" spans="1:6" x14ac:dyDescent="0.4">
      <c r="A1319" s="4">
        <v>1152.576225</v>
      </c>
      <c r="B1319" s="4">
        <v>1.0417037</v>
      </c>
      <c r="C1319" s="4">
        <v>1.0654277000000001</v>
      </c>
      <c r="D1319" s="4">
        <v>-29.306612999999999</v>
      </c>
      <c r="E1319" s="4">
        <f>((-37.976976/(10/9))+-10.5)+-0.4</f>
        <v>-45.0792784</v>
      </c>
      <c r="F1319" s="4">
        <f>((-0.61914545*(1.3/1.5))*0.6)-0.3</f>
        <v>-0.62195563399999998</v>
      </c>
    </row>
    <row r="1320" spans="1:6" x14ac:dyDescent="0.4">
      <c r="A1320" s="4">
        <v>1153.4511499999999</v>
      </c>
      <c r="B1320" s="4">
        <v>1.041868</v>
      </c>
      <c r="C1320" s="4">
        <v>1.0655030000000001</v>
      </c>
      <c r="D1320" s="4">
        <v>-29.305539</v>
      </c>
      <c r="E1320" s="4">
        <f>((-37.9517139/(10/9))+-10.5)+-0.4</f>
        <v>-45.05654251</v>
      </c>
      <c r="F1320" s="4">
        <f>((-0.61982876*(1.3/1.5))*0.6)-0.3</f>
        <v>-0.6223109551999999</v>
      </c>
    </row>
    <row r="1321" spans="1:6" x14ac:dyDescent="0.4">
      <c r="A1321" s="4">
        <v>1154.3260749999999</v>
      </c>
      <c r="B1321" s="4">
        <v>1.0422013000000001</v>
      </c>
      <c r="C1321" s="4">
        <v>1.0655403000000001</v>
      </c>
      <c r="D1321" s="4">
        <v>-29.304541999999998</v>
      </c>
      <c r="E1321" s="4">
        <f>((-37.8877086/(10/9))+-10.5)+-0.4</f>
        <v>-44.998937740000002</v>
      </c>
      <c r="F1321" s="4">
        <f>((-0.62051797*(1.3/1.5))*0.6)-0.3</f>
        <v>-0.62266934439999999</v>
      </c>
    </row>
    <row r="1322" spans="1:6" x14ac:dyDescent="0.4">
      <c r="A1322" s="4">
        <v>1155.201</v>
      </c>
      <c r="B1322" s="4">
        <v>1.0421560000000001</v>
      </c>
      <c r="C1322" s="4">
        <v>1.0656893999999999</v>
      </c>
      <c r="D1322" s="4">
        <v>-29.303729000000001</v>
      </c>
      <c r="E1322" s="4">
        <f>((-37.9349091/(10/9))+-10.5)+-0.4</f>
        <v>-45.041418189999995</v>
      </c>
      <c r="F1322" s="4">
        <f>((-0.62124342*(1.3/1.5))*0.6)-0.3</f>
        <v>-0.6230465784</v>
      </c>
    </row>
    <row r="1323" spans="1:6" x14ac:dyDescent="0.4">
      <c r="A1323" s="4">
        <v>1156.0759250000001</v>
      </c>
      <c r="B1323" s="4">
        <v>1.0419963999999999</v>
      </c>
      <c r="C1323" s="4">
        <v>1.0657449000000001</v>
      </c>
      <c r="D1323" s="4">
        <v>-29.302882</v>
      </c>
      <c r="E1323" s="4">
        <f>((-37.9394676/(10/9))+-10.5)+-0.4</f>
        <v>-45.045520839999995</v>
      </c>
      <c r="F1323" s="4">
        <f>((-0.62191159*(1.3/1.5))*0.6)-0.3</f>
        <v>-0.6233940268</v>
      </c>
    </row>
    <row r="1324" spans="1:6" x14ac:dyDescent="0.4">
      <c r="A1324" s="4">
        <v>1156.9508500000002</v>
      </c>
      <c r="B1324" s="4">
        <v>1.0423496999999999</v>
      </c>
      <c r="C1324" s="4">
        <v>1.0659297000000001</v>
      </c>
      <c r="D1324" s="4">
        <v>-29.302208999999998</v>
      </c>
      <c r="E1324" s="4">
        <f>((-37.898262/(10/9))+-10.5)+-0.4</f>
        <v>-45.008435800000001</v>
      </c>
      <c r="F1324" s="4">
        <f>((-0.62251508*(1.3/1.5))*0.6)-0.3</f>
        <v>-0.62370784159999992</v>
      </c>
    </row>
    <row r="1325" spans="1:6" x14ac:dyDescent="0.4">
      <c r="A1325" s="4">
        <v>1157.8257749999998</v>
      </c>
      <c r="B1325" s="4">
        <v>1.0422088</v>
      </c>
      <c r="C1325" s="4">
        <v>1.0662092999999999</v>
      </c>
      <c r="D1325" s="4">
        <v>-29.301283999999999</v>
      </c>
      <c r="E1325" s="4">
        <f>((-37.8443781/(10/9))+-10.5)+-0.4</f>
        <v>-44.959940289999999</v>
      </c>
      <c r="F1325" s="4">
        <f>((-0.62308401*(1.3/1.5))*0.6)-0.3</f>
        <v>-0.62400368520000005</v>
      </c>
    </row>
    <row r="1326" spans="1:6" x14ac:dyDescent="0.4">
      <c r="A1326" s="4">
        <v>1158.7006999999999</v>
      </c>
      <c r="B1326" s="4">
        <v>1.0422423999999999</v>
      </c>
      <c r="C1326" s="4">
        <v>1.0661725</v>
      </c>
      <c r="D1326" s="4">
        <v>-29.300810999999999</v>
      </c>
      <c r="E1326" s="4">
        <f>((-37.9542888/(10/9))+-10.5)+-0.4</f>
        <v>-45.058859919999996</v>
      </c>
      <c r="F1326" s="4">
        <f>((-0.6236397*(1.3/1.5))*0.6)-0.3</f>
        <v>-0.62429264399999995</v>
      </c>
    </row>
    <row r="1327" spans="1:6" x14ac:dyDescent="0.4">
      <c r="A1327" s="4">
        <v>1159.5756249999999</v>
      </c>
      <c r="B1327" s="4">
        <v>1.0423317000000001</v>
      </c>
      <c r="C1327" s="4">
        <v>1.0662129</v>
      </c>
      <c r="D1327" s="4">
        <v>-29.299482999999999</v>
      </c>
      <c r="E1327" s="4">
        <f>((-37.8649467/(10/9))+-10.5)+-0.4</f>
        <v>-44.978452029999993</v>
      </c>
      <c r="F1327" s="4">
        <f>((-0.62418109*(1.3/1.5))*0.6)-0.3</f>
        <v>-0.6245741668</v>
      </c>
    </row>
    <row r="1328" spans="1:6" x14ac:dyDescent="0.4">
      <c r="A1328" s="4">
        <v>1160.45055</v>
      </c>
      <c r="B1328" s="4">
        <v>1.0424712</v>
      </c>
      <c r="C1328" s="4">
        <v>1.0664750000000001</v>
      </c>
      <c r="D1328" s="4">
        <v>-29.297939</v>
      </c>
      <c r="E1328" s="4">
        <f>((-37.8733095/(10/9))+-10.5)+-0.4</f>
        <v>-44.985978549999992</v>
      </c>
      <c r="F1328" s="4">
        <f>((-0.62475145*(1.3/1.5))*0.6)-0.3</f>
        <v>-0.62487075400000003</v>
      </c>
    </row>
    <row r="1329" spans="1:6" x14ac:dyDescent="0.4">
      <c r="A1329" s="4">
        <v>1161.3254750000001</v>
      </c>
      <c r="B1329" s="4">
        <v>1.0422313000000001</v>
      </c>
      <c r="C1329" s="4">
        <v>1.0664836</v>
      </c>
      <c r="D1329" s="4">
        <v>-29.297103</v>
      </c>
      <c r="E1329" s="4">
        <f>((-37.8526419/(10/9))+-10.5)+-0.4</f>
        <v>-44.967377710000001</v>
      </c>
      <c r="F1329" s="4">
        <f>((-0.62530911*(1.3/1.5))*0.6)-0.3</f>
        <v>-0.62516073719999998</v>
      </c>
    </row>
    <row r="1330" spans="1:6" x14ac:dyDescent="0.4">
      <c r="A1330" s="4">
        <v>1162.2003999999999</v>
      </c>
      <c r="B1330" s="4">
        <v>1.042546</v>
      </c>
      <c r="C1330" s="4">
        <v>1.0665431000000001</v>
      </c>
      <c r="D1330" s="4">
        <v>-29.295963</v>
      </c>
      <c r="E1330" s="4">
        <f>((-37.8920997/(10/9))+-10.5)+-0.4</f>
        <v>-45.00288973</v>
      </c>
      <c r="F1330" s="4">
        <f>((-0.62588835*(1.3/1.5))*0.6)-0.3</f>
        <v>-0.62546194200000005</v>
      </c>
    </row>
    <row r="1331" spans="1:6" x14ac:dyDescent="0.4">
      <c r="A1331" s="4">
        <v>1163.075325</v>
      </c>
      <c r="B1331" s="4">
        <v>1.0426522</v>
      </c>
      <c r="C1331" s="4">
        <v>1.0667158000000001</v>
      </c>
      <c r="D1331" s="4">
        <v>-29.294664000000001</v>
      </c>
      <c r="E1331" s="4">
        <f>((-37.9603863/(10/9))+-10.5)+-0.4</f>
        <v>-45.064347669999997</v>
      </c>
      <c r="F1331" s="4">
        <f>((-0.62638646*(1.3/1.5))*0.6)-0.3</f>
        <v>-0.62572095919999993</v>
      </c>
    </row>
    <row r="1332" spans="1:6" x14ac:dyDescent="0.4">
      <c r="A1332" s="4">
        <v>1163.9502500000001</v>
      </c>
      <c r="B1332" s="4">
        <v>1.0425504000000001</v>
      </c>
      <c r="C1332" s="4">
        <v>1.0667173999999999</v>
      </c>
      <c r="D1332" s="4">
        <v>-29.293557</v>
      </c>
      <c r="E1332" s="4">
        <f>((-37.8441585/(10/9))+-10.5)+-0.4</f>
        <v>-44.959742649999995</v>
      </c>
      <c r="F1332" s="4">
        <f>((-0.62698197*(1.3/1.5))*0.6)-0.3</f>
        <v>-0.62603062440000001</v>
      </c>
    </row>
    <row r="1333" spans="1:6" x14ac:dyDescent="0.4">
      <c r="A1333" s="4">
        <v>1164.8251749999999</v>
      </c>
      <c r="B1333" s="4">
        <v>1.0425481999999999</v>
      </c>
      <c r="C1333" s="4">
        <v>1.0667027</v>
      </c>
      <c r="D1333" s="4">
        <v>-29.292192</v>
      </c>
      <c r="E1333" s="4">
        <f>((-37.8582993/(10/9))+-10.5)+-0.4</f>
        <v>-44.972469369999999</v>
      </c>
      <c r="F1333" s="4">
        <f>((-0.62755907*(1.3/1.5))*0.6)-0.3</f>
        <v>-0.62633071640000004</v>
      </c>
    </row>
    <row r="1334" spans="1:6" x14ac:dyDescent="0.4">
      <c r="A1334" s="4">
        <v>1165.7001</v>
      </c>
      <c r="B1334" s="4">
        <v>1.0426496999999999</v>
      </c>
      <c r="C1334" s="4">
        <v>1.0670059000000001</v>
      </c>
      <c r="D1334" s="4">
        <v>-29.290966999999998</v>
      </c>
      <c r="E1334" s="4">
        <f>((-37.8700893/(10/9))+-10.5)+-0.4</f>
        <v>-44.983080369999996</v>
      </c>
      <c r="F1334" s="4">
        <f>((-0.62804854*(1.3/1.5))*0.6)-0.3</f>
        <v>-0.62658524079999989</v>
      </c>
    </row>
    <row r="1335" spans="1:6" x14ac:dyDescent="0.4">
      <c r="A1335" s="4">
        <v>1166.5750249999999</v>
      </c>
      <c r="B1335" s="4">
        <v>1.0429027</v>
      </c>
      <c r="C1335" s="4">
        <v>1.0673131</v>
      </c>
      <c r="D1335" s="4">
        <v>-29.289732999999998</v>
      </c>
      <c r="E1335" s="4">
        <f>((-37.8334701/(10/9))+-10.5)+-0.4</f>
        <v>-44.950123089999998</v>
      </c>
      <c r="F1335" s="4">
        <f>((-0.62849855*(1.3/1.5))*0.6)-0.3</f>
        <v>-0.62681924599999994</v>
      </c>
    </row>
    <row r="1336" spans="1:6" x14ac:dyDescent="0.4">
      <c r="A1336" s="4">
        <v>1167.4499499999999</v>
      </c>
      <c r="B1336" s="4">
        <v>1.0427443000000001</v>
      </c>
      <c r="C1336" s="4">
        <v>1.067035</v>
      </c>
      <c r="D1336" s="4">
        <v>-29.28857</v>
      </c>
      <c r="E1336" s="4">
        <f>((-37.9170423/(10/9))+-10.5)+-0.4</f>
        <v>-45.025338069999997</v>
      </c>
      <c r="F1336" s="4">
        <f>((-0.62899065*(1.3/1.5))*0.6)-0.3</f>
        <v>-0.62707513799999992</v>
      </c>
    </row>
    <row r="1337" spans="1:6" x14ac:dyDescent="0.4">
      <c r="A1337" s="4">
        <v>1168.324875</v>
      </c>
      <c r="B1337" s="4">
        <v>1.0429804</v>
      </c>
      <c r="C1337" s="4">
        <v>1.0674467999999999</v>
      </c>
      <c r="D1337" s="4">
        <v>-29.287299000000001</v>
      </c>
      <c r="E1337" s="4">
        <f>((-37.8193257/(10/9))+-10.5)+-0.4</f>
        <v>-44.937393129999997</v>
      </c>
      <c r="F1337" s="4">
        <f>((-0.62943685*(1.3/1.5))*0.6)-0.3</f>
        <v>-0.62730716200000003</v>
      </c>
    </row>
    <row r="1338" spans="1:6" x14ac:dyDescent="0.4">
      <c r="A1338" s="4">
        <v>1169.1998000000001</v>
      </c>
      <c r="B1338" s="4">
        <v>1.0430025000000001</v>
      </c>
      <c r="C1338" s="4">
        <v>1.0678909999999999</v>
      </c>
      <c r="D1338" s="4">
        <v>-29.286186999999998</v>
      </c>
      <c r="E1338" s="4">
        <f>((-37.7838054/(10/9))+-10.5)+-0.4</f>
        <v>-44.905424859999997</v>
      </c>
      <c r="F1338" s="4">
        <f>((-0.62977469*(1.3/1.5))*0.6)-0.3</f>
        <v>-0.6274828388</v>
      </c>
    </row>
    <row r="1339" spans="1:6" x14ac:dyDescent="0.4">
      <c r="A1339" s="4">
        <v>1170.0747250000002</v>
      </c>
      <c r="B1339" s="4">
        <v>1.0430895</v>
      </c>
      <c r="C1339" s="4">
        <v>1.0678662000000001</v>
      </c>
      <c r="D1339" s="4">
        <v>-29.284611999999999</v>
      </c>
      <c r="E1339" s="4">
        <f>((-37.872225/(10/9))+-10.5)+-0.4</f>
        <v>-44.9850025</v>
      </c>
      <c r="F1339" s="4">
        <f>((-0.6301809*(1.3/1.5))*0.6)-0.3</f>
        <v>-0.62769406800000005</v>
      </c>
    </row>
    <row r="1340" spans="1:6" x14ac:dyDescent="0.4">
      <c r="A1340" s="4">
        <v>1170.94965</v>
      </c>
      <c r="B1340" s="4">
        <v>1.0433288000000001</v>
      </c>
      <c r="C1340" s="4">
        <v>1.0680056</v>
      </c>
      <c r="D1340" s="4">
        <v>-29.283494000000001</v>
      </c>
      <c r="E1340" s="4">
        <f>((-37.8039897/(10/9))+-10.5)+-0.4</f>
        <v>-44.923590730000001</v>
      </c>
      <c r="F1340" s="4">
        <f>((-0.63059241*(1.3/1.5))*0.6)-0.3</f>
        <v>-0.62790805319999998</v>
      </c>
    </row>
    <row r="1341" spans="1:6" x14ac:dyDescent="0.4">
      <c r="A1341" s="4">
        <v>1171.8245749999999</v>
      </c>
      <c r="B1341" s="4">
        <v>1.0432030999999999</v>
      </c>
      <c r="C1341" s="4">
        <v>1.0681444</v>
      </c>
      <c r="D1341" s="4">
        <v>-29.282184000000001</v>
      </c>
      <c r="E1341" s="4">
        <f>((-37.7538264/(10/9))+-10.5)+-0.4</f>
        <v>-44.878443759999996</v>
      </c>
      <c r="F1341" s="4">
        <f>((-0.63099724*(1.3/1.5))*0.6)-0.3</f>
        <v>-0.62811856479999995</v>
      </c>
    </row>
    <row r="1342" spans="1:6" x14ac:dyDescent="0.4">
      <c r="A1342" s="4">
        <v>1172.6994999999999</v>
      </c>
      <c r="B1342" s="4">
        <v>1.0433697</v>
      </c>
      <c r="C1342" s="4">
        <v>1.0680270000000001</v>
      </c>
      <c r="D1342" s="4">
        <v>-29.280725</v>
      </c>
      <c r="E1342" s="4">
        <f>((-37.7847909/(10/9))+-10.5)+-0.4</f>
        <v>-44.906311809999991</v>
      </c>
      <c r="F1342" s="4">
        <f>((-0.63133931*(1.3/1.5))*0.6)-0.3</f>
        <v>-0.62829644119999994</v>
      </c>
    </row>
    <row r="1343" spans="1:6" x14ac:dyDescent="0.4">
      <c r="A1343" s="4">
        <v>1173.574425</v>
      </c>
      <c r="B1343" s="4">
        <v>1.0432538</v>
      </c>
      <c r="C1343" s="4">
        <v>1.0683303</v>
      </c>
      <c r="D1343" s="4">
        <v>-29.279636</v>
      </c>
      <c r="E1343" s="4">
        <f>((-37.769094/(10/9))+-10.5)+-0.4</f>
        <v>-44.8921846</v>
      </c>
      <c r="F1343" s="4">
        <f>((-0.63172334*(1.3/1.5))*0.6)-0.3</f>
        <v>-0.62849613679999994</v>
      </c>
    </row>
    <row r="1344" spans="1:6" x14ac:dyDescent="0.4">
      <c r="A1344" s="4">
        <v>1174.4493500000001</v>
      </c>
      <c r="B1344" s="4">
        <v>1.0435086</v>
      </c>
      <c r="C1344" s="4">
        <v>1.0683894</v>
      </c>
      <c r="D1344" s="4">
        <v>-29.278687999999999</v>
      </c>
      <c r="E1344" s="4">
        <f>((-37.7662788/(10/9))+-10.5)+-0.4</f>
        <v>-44.889650920000001</v>
      </c>
      <c r="F1344" s="4">
        <f>((-0.63206619*(1.3/1.5))*0.6)-0.3</f>
        <v>-0.62867441879999997</v>
      </c>
    </row>
    <row r="1345" spans="1:6" x14ac:dyDescent="0.4">
      <c r="A1345" s="4">
        <v>1175.3242749999999</v>
      </c>
      <c r="B1345" s="4">
        <v>1.0436443</v>
      </c>
      <c r="C1345" s="4">
        <v>1.0686353</v>
      </c>
      <c r="D1345" s="4">
        <v>-29.276854999999998</v>
      </c>
      <c r="E1345" s="4">
        <f>((-37.7575038/(10/9))+-10.5)+-0.4</f>
        <v>-44.881753419999995</v>
      </c>
      <c r="F1345" s="4">
        <f>((-0.63242251*(1.3/1.5))*0.6)-0.3</f>
        <v>-0.62885970520000001</v>
      </c>
    </row>
    <row r="1346" spans="1:6" x14ac:dyDescent="0.4">
      <c r="A1346" s="4">
        <v>1176.1992</v>
      </c>
      <c r="B1346" s="4">
        <v>1.0437266999999999</v>
      </c>
      <c r="C1346" s="4">
        <v>1.0687542999999999</v>
      </c>
      <c r="D1346" s="4">
        <v>-29.275026</v>
      </c>
      <c r="E1346" s="4">
        <f>((-37.6971786/(10/9))+-10.5)+-0.4</f>
        <v>-44.827460739999999</v>
      </c>
      <c r="F1346" s="4">
        <f>((-0.63274682*(1.3/1.5))*0.6)-0.3</f>
        <v>-0.62902834639999994</v>
      </c>
    </row>
    <row r="1347" spans="1:6" x14ac:dyDescent="0.4">
      <c r="A1347" s="4">
        <v>1177.0741250000001</v>
      </c>
      <c r="B1347" s="4">
        <v>1.0439160999999999</v>
      </c>
      <c r="C1347" s="4">
        <v>1.0689953999999999</v>
      </c>
      <c r="D1347" s="4">
        <v>-29.273752999999999</v>
      </c>
      <c r="E1347" s="4">
        <f>((-37.7460468/(10/9))+-10.5)+-0.4</f>
        <v>-44.871442119999998</v>
      </c>
      <c r="F1347" s="4">
        <f>((-0.63305956*(1.3/1.5))*0.6)-0.3</f>
        <v>-0.6291909712</v>
      </c>
    </row>
    <row r="1348" spans="1:6" x14ac:dyDescent="0.4">
      <c r="A1348" s="4">
        <v>1177.9490499999999</v>
      </c>
      <c r="B1348" s="4">
        <v>1.0438651999999999</v>
      </c>
      <c r="C1348" s="4">
        <v>1.0690713000000001</v>
      </c>
      <c r="D1348" s="4">
        <v>-29.272389999999998</v>
      </c>
      <c r="E1348" s="4">
        <f>((-37.7639442/(10/9))+-10.5)+-0.4</f>
        <v>-44.887549779999993</v>
      </c>
      <c r="F1348" s="4">
        <f>((-0.63338906*(1.3/1.5))*0.6)-0.3</f>
        <v>-0.62936231119999997</v>
      </c>
    </row>
    <row r="1349" spans="1:6" x14ac:dyDescent="0.4">
      <c r="A1349" s="4">
        <v>1178.823975</v>
      </c>
      <c r="B1349" s="4">
        <v>1.0437814999999999</v>
      </c>
      <c r="C1349" s="4">
        <v>1.0691373</v>
      </c>
      <c r="D1349" s="4">
        <v>-29.271107999999998</v>
      </c>
      <c r="E1349" s="4">
        <f>((-37.7139114/(10/9))+-10.5)+-0.4</f>
        <v>-44.842520260000001</v>
      </c>
      <c r="F1349" s="4">
        <f>((-0.63368529*(1.3/1.5))*0.6)-0.3</f>
        <v>-0.6295163507999999</v>
      </c>
    </row>
    <row r="1350" spans="1:6" x14ac:dyDescent="0.4">
      <c r="A1350" s="4">
        <v>1179.6988999999999</v>
      </c>
      <c r="B1350" s="4">
        <v>1.0441027000000001</v>
      </c>
      <c r="C1350" s="4">
        <v>1.0693163000000001</v>
      </c>
      <c r="D1350" s="4">
        <v>-29.269480999999999</v>
      </c>
      <c r="E1350" s="4">
        <f>((-37.7191269/(10/9))+-10.5)+-0.4</f>
        <v>-44.847214209999997</v>
      </c>
      <c r="F1350" s="4">
        <f>((-0.63396496*(1.3/1.5))*0.6)-0.3</f>
        <v>-0.62966177919999999</v>
      </c>
    </row>
    <row r="1351" spans="1:6" x14ac:dyDescent="0.4">
      <c r="A1351" s="4">
        <v>1180.5738249999999</v>
      </c>
      <c r="B1351" s="4">
        <v>1.0441054999999999</v>
      </c>
      <c r="C1351" s="4">
        <v>1.0693398999999999</v>
      </c>
      <c r="D1351" s="4">
        <v>-29.268104000000001</v>
      </c>
      <c r="E1351" s="4">
        <f>((-37.7194563/(10/9))+-10.5)+-0.4</f>
        <v>-44.847510669999991</v>
      </c>
      <c r="F1351" s="4">
        <f>((-0.63417912*(1.3/1.5))*0.6)-0.3</f>
        <v>-0.62977314239999993</v>
      </c>
    </row>
    <row r="1352" spans="1:6" x14ac:dyDescent="0.4">
      <c r="A1352" s="4">
        <v>1181.44875</v>
      </c>
      <c r="B1352" s="4">
        <v>1.0441335</v>
      </c>
      <c r="C1352" s="4">
        <v>1.0695778</v>
      </c>
      <c r="D1352" s="4">
        <v>-29.266517</v>
      </c>
      <c r="E1352" s="4">
        <f>((-37.7244621/(10/9))+-10.5)+-0.4</f>
        <v>-44.852015889999997</v>
      </c>
      <c r="F1352" s="4">
        <f>((-0.63437366*(1.3/1.5))*0.6)-0.3</f>
        <v>-0.62987430319999993</v>
      </c>
    </row>
    <row r="1353" spans="1:6" x14ac:dyDescent="0.4">
      <c r="A1353" s="4">
        <v>1182.3236750000001</v>
      </c>
      <c r="B1353" s="4">
        <v>1.0444912</v>
      </c>
      <c r="C1353" s="4">
        <v>1.0697570000000001</v>
      </c>
      <c r="D1353" s="4">
        <v>-29.264854</v>
      </c>
      <c r="E1353" s="4">
        <f>((-37.7352117/(10/9))+-10.5)+-0.4</f>
        <v>-44.861690529999997</v>
      </c>
      <c r="F1353" s="4">
        <f>((-0.63457012*(1.3/1.5))*0.6)-0.3</f>
        <v>-0.62997646239999994</v>
      </c>
    </row>
    <row r="1354" spans="1:6" x14ac:dyDescent="0.4">
      <c r="A1354" s="4">
        <v>1183.1986000000002</v>
      </c>
      <c r="B1354" s="4">
        <v>1.0443178</v>
      </c>
      <c r="C1354" s="4">
        <v>1.0699049</v>
      </c>
      <c r="D1354" s="4">
        <v>-29.263518999999999</v>
      </c>
      <c r="E1354" s="4">
        <f>((-37.7004231/(10/9))+-10.5)+-0.4</f>
        <v>-44.83038079</v>
      </c>
      <c r="F1354" s="4">
        <f>((-0.63476533*(1.3/1.5))*0.6)-0.3</f>
        <v>-0.63007797160000001</v>
      </c>
    </row>
    <row r="1355" spans="1:6" x14ac:dyDescent="0.4">
      <c r="A1355" s="4">
        <v>1184.073525</v>
      </c>
      <c r="B1355" s="4">
        <v>1.0443456</v>
      </c>
      <c r="C1355" s="4">
        <v>1.0700445000000001</v>
      </c>
      <c r="D1355" s="4">
        <v>-29.262501999999998</v>
      </c>
      <c r="E1355" s="4">
        <f>((-37.642068/(10/9))+-10.5)+-0.4</f>
        <v>-44.777861199999997</v>
      </c>
      <c r="F1355" s="4">
        <f>((-0.63491583*(1.3/1.5))*0.6)-0.3</f>
        <v>-0.63015623160000001</v>
      </c>
    </row>
    <row r="1356" spans="1:6" x14ac:dyDescent="0.4">
      <c r="A1356" s="4">
        <v>1184.9484499999999</v>
      </c>
      <c r="B1356" s="4">
        <v>1.0445834000000001</v>
      </c>
      <c r="C1356" s="4">
        <v>1.0702777999999999</v>
      </c>
      <c r="D1356" s="4">
        <v>-29.261250999999998</v>
      </c>
      <c r="E1356" s="4">
        <f>((-37.6927353/(10/9))+-10.5)+-0.4</f>
        <v>-44.823461770000002</v>
      </c>
      <c r="F1356" s="4">
        <f>((-0.63506567*(1.3/1.5))*0.6)-0.3</f>
        <v>-0.63023414840000003</v>
      </c>
    </row>
    <row r="1357" spans="1:6" x14ac:dyDescent="0.4">
      <c r="A1357" s="4">
        <v>1185.8233749999999</v>
      </c>
      <c r="B1357" s="4">
        <v>1.0445770999999999</v>
      </c>
      <c r="C1357" s="4">
        <v>1.0702904</v>
      </c>
      <c r="D1357" s="4">
        <v>-29.260058999999998</v>
      </c>
      <c r="E1357" s="4">
        <f>((-37.6561611/(10/9))+-10.5)+-0.4</f>
        <v>-44.790544989999994</v>
      </c>
      <c r="F1357" s="4">
        <f>((-0.63522768*(1.3/1.5))*0.6)-0.3</f>
        <v>-0.63031839359999997</v>
      </c>
    </row>
    <row r="1358" spans="1:6" x14ac:dyDescent="0.4">
      <c r="A1358" s="4">
        <v>1186.6983</v>
      </c>
      <c r="B1358" s="4">
        <v>1.0446005</v>
      </c>
      <c r="C1358" s="4">
        <v>1.0701852000000001</v>
      </c>
      <c r="D1358" s="4">
        <v>-29.258588</v>
      </c>
      <c r="E1358" s="4">
        <f>((-37.6956981/(10/9))+-10.5)+-0.4</f>
        <v>-44.82612829</v>
      </c>
      <c r="F1358" s="4">
        <f>((-0.63530052*(1.3/1.5))*0.6)-0.3</f>
        <v>-0.63035627039999997</v>
      </c>
    </row>
    <row r="1359" spans="1:6" x14ac:dyDescent="0.4">
      <c r="A1359" s="4">
        <v>1187.5732250000001</v>
      </c>
      <c r="B1359" s="4">
        <v>1.0447388</v>
      </c>
      <c r="C1359" s="4">
        <v>1.0704829</v>
      </c>
      <c r="D1359" s="4">
        <v>-29.256902</v>
      </c>
      <c r="E1359" s="4">
        <f>((-37.6877439/(10/9))+-10.5)+-0.4</f>
        <v>-44.818969509999995</v>
      </c>
      <c r="F1359" s="4">
        <f>((-0.63538355*(1.3/1.5))*0.6)-0.3</f>
        <v>-0.63039944599999997</v>
      </c>
    </row>
    <row r="1360" spans="1:6" x14ac:dyDescent="0.4">
      <c r="A1360" s="4">
        <v>1188.4481499999999</v>
      </c>
      <c r="B1360" s="4">
        <v>1.044619</v>
      </c>
      <c r="C1360" s="4">
        <v>1.0706574</v>
      </c>
      <c r="D1360" s="4">
        <v>-29.255438999999999</v>
      </c>
      <c r="E1360" s="4">
        <f>((-37.6558452/(10/9))+-10.5)+-0.4</f>
        <v>-44.790260679999996</v>
      </c>
      <c r="F1360" s="4">
        <f>((-0.63542104*(1.3/1.5))*0.6)-0.3</f>
        <v>-0.63041894080000005</v>
      </c>
    </row>
    <row r="1361" spans="1:6" x14ac:dyDescent="0.4">
      <c r="A1361" s="4">
        <v>1189.323075</v>
      </c>
      <c r="B1361" s="4">
        <v>1.0448278</v>
      </c>
      <c r="C1361" s="4">
        <v>1.0708361</v>
      </c>
      <c r="D1361" s="4">
        <v>-29.254497000000001</v>
      </c>
      <c r="E1361" s="4">
        <f>((-37.6540119/(10/9))+-10.5)+-0.4</f>
        <v>-44.78861071</v>
      </c>
      <c r="F1361" s="4">
        <f>((-0.63541526*(1.3/1.5))*0.6)-0.3</f>
        <v>-0.63041593520000005</v>
      </c>
    </row>
    <row r="1362" spans="1:6" x14ac:dyDescent="0.4">
      <c r="A1362" s="4">
        <v>1190.1980000000001</v>
      </c>
      <c r="B1362" s="4">
        <v>1.0450642999999999</v>
      </c>
      <c r="C1362" s="4">
        <v>1.0708675000000001</v>
      </c>
      <c r="D1362" s="4">
        <v>-29.25328</v>
      </c>
      <c r="E1362" s="4">
        <f>((-37.661274/(10/9))+-10.5)+-0.4</f>
        <v>-44.795146599999995</v>
      </c>
      <c r="F1362" s="4">
        <f>((-0.63538259*(1.3/1.5))*0.6)-0.3</f>
        <v>-0.63039894679999997</v>
      </c>
    </row>
    <row r="1363" spans="1:6" x14ac:dyDescent="0.4">
      <c r="A1363" s="4">
        <v>1191.0729249999999</v>
      </c>
      <c r="B1363" s="4">
        <v>1.0451140000000001</v>
      </c>
      <c r="C1363" s="4">
        <v>1.0710725000000001</v>
      </c>
      <c r="D1363" s="4">
        <v>-29.252208</v>
      </c>
      <c r="E1363" s="4">
        <f>((-37.5770943/(10/9))+-10.5)+-0.4</f>
        <v>-44.719384869999999</v>
      </c>
      <c r="F1363" s="4">
        <f>((-0.63529235*(1.3/1.5))*0.6)-0.3</f>
        <v>-0.63035202199999996</v>
      </c>
    </row>
    <row r="1364" spans="1:6" x14ac:dyDescent="0.4">
      <c r="A1364" s="4">
        <v>1191.94785</v>
      </c>
      <c r="B1364" s="4">
        <v>1.0452817999999999</v>
      </c>
      <c r="C1364" s="4">
        <v>1.0713286</v>
      </c>
      <c r="D1364" s="4">
        <v>-29.250731999999999</v>
      </c>
      <c r="E1364" s="4">
        <f>((-37.6595847/(10/9))+-10.5)+-0.4</f>
        <v>-44.793626230000001</v>
      </c>
      <c r="F1364" s="4">
        <f>((-0.63520354*(1.3/1.5))*0.6)-0.3</f>
        <v>-0.63030584079999996</v>
      </c>
    </row>
    <row r="1365" spans="1:6" x14ac:dyDescent="0.4">
      <c r="A1365" s="4">
        <v>1192.8227749999999</v>
      </c>
      <c r="B1365" s="4">
        <v>1.0453174000000001</v>
      </c>
      <c r="C1365" s="4">
        <v>1.0714394</v>
      </c>
      <c r="D1365" s="4">
        <v>-29.249433</v>
      </c>
      <c r="E1365" s="4">
        <f>((-37.6554339/(10/9))+-10.5)+-0.4</f>
        <v>-44.789890509999992</v>
      </c>
      <c r="F1365" s="4">
        <f>((-0.63517511*(1.3/1.5))*0.6)-0.3</f>
        <v>-0.6302910572</v>
      </c>
    </row>
    <row r="1366" spans="1:6" x14ac:dyDescent="0.4">
      <c r="A1366" s="4">
        <v>1193.6976999999999</v>
      </c>
      <c r="B1366" s="4">
        <v>1.0451732</v>
      </c>
      <c r="C1366" s="4">
        <v>1.0717608000000001</v>
      </c>
      <c r="D1366" s="4">
        <v>-29.248193000000001</v>
      </c>
      <c r="E1366" s="4">
        <f>((-37.5734961/(10/9))+-10.5)+-0.4</f>
        <v>-44.71614649</v>
      </c>
      <c r="F1366" s="4">
        <f>((-0.63514638*(1.3/1.5))*0.6)-0.3</f>
        <v>-0.63027611760000002</v>
      </c>
    </row>
    <row r="1367" spans="1:6" x14ac:dyDescent="0.4">
      <c r="A1367" s="4">
        <v>1194.572625</v>
      </c>
      <c r="B1367" s="4">
        <v>1.0453154</v>
      </c>
      <c r="C1367" s="4">
        <v>1.0716433999999999</v>
      </c>
      <c r="D1367" s="4">
        <v>-29.247169</v>
      </c>
      <c r="E1367" s="4">
        <f>((-37.631583/(10/9))+-10.5)+-0.4</f>
        <v>-44.768424699999997</v>
      </c>
      <c r="F1367" s="4">
        <f>((-0.63509905*(1.3/1.5))*0.6)-0.3</f>
        <v>-0.63025150600000002</v>
      </c>
    </row>
    <row r="1368" spans="1:6" x14ac:dyDescent="0.4">
      <c r="A1368" s="4">
        <v>1195.4475500000001</v>
      </c>
      <c r="B1368" s="4">
        <v>1.0453665000000001</v>
      </c>
      <c r="C1368" s="4">
        <v>1.0715953</v>
      </c>
      <c r="D1368" s="4">
        <v>-29.246397999999999</v>
      </c>
      <c r="E1368" s="4">
        <f>((-37.5670557/(10/9))+-10.5)+-0.4</f>
        <v>-44.710350129999995</v>
      </c>
      <c r="F1368" s="4">
        <f>((-0.63496125*(1.3/1.5))*0.6)-0.3</f>
        <v>-0.63017984999999999</v>
      </c>
    </row>
    <row r="1369" spans="1:6" x14ac:dyDescent="0.4">
      <c r="A1369" s="4">
        <v>1196.3224750000002</v>
      </c>
      <c r="B1369" s="4">
        <v>1.0456048</v>
      </c>
      <c r="C1369" s="4">
        <v>1.0719304999999999</v>
      </c>
      <c r="D1369" s="4">
        <v>-29.245194999999999</v>
      </c>
      <c r="E1369" s="4">
        <f>((-37.5105105/(10/9))+-10.5)+-0.4</f>
        <v>-44.65945945</v>
      </c>
      <c r="F1369" s="4">
        <f>((-0.63484967*(1.3/1.5))*0.6)-0.3</f>
        <v>-0.63012182839999997</v>
      </c>
    </row>
    <row r="1370" spans="1:6" x14ac:dyDescent="0.4">
      <c r="A1370" s="4">
        <v>1197.1974</v>
      </c>
      <c r="B1370" s="4">
        <v>1.0455873</v>
      </c>
      <c r="C1370" s="4">
        <v>1.0719318</v>
      </c>
      <c r="D1370" s="4">
        <v>-29.244024</v>
      </c>
      <c r="E1370" s="4">
        <f>((-37.5187086/(10/9))+-10.5)+-0.4</f>
        <v>-44.666837739999991</v>
      </c>
      <c r="F1370" s="4">
        <f>((-0.6347934*(1.3/1.5))*0.6)-0.3</f>
        <v>-0.63009256800000002</v>
      </c>
    </row>
    <row r="1371" spans="1:6" x14ac:dyDescent="0.4">
      <c r="A1371" s="4">
        <v>1198.0723249999999</v>
      </c>
      <c r="B1371" s="4">
        <v>1.0457991</v>
      </c>
      <c r="C1371" s="4">
        <v>1.0722233000000001</v>
      </c>
      <c r="D1371" s="4">
        <v>-29.243027999999999</v>
      </c>
      <c r="E1371" s="4">
        <f>((-37.5666336/(10/9))+-10.5)+-0.4</f>
        <v>-44.709970239999997</v>
      </c>
      <c r="F1371" s="4">
        <f>((-0.6347065*(1.3/1.5))*0.6)-0.3</f>
        <v>-0.63004737999999993</v>
      </c>
    </row>
    <row r="1372" spans="1:6" x14ac:dyDescent="0.4">
      <c r="A1372" s="4">
        <v>1198.9472499999999</v>
      </c>
      <c r="B1372" s="4">
        <v>1.0459255000000001</v>
      </c>
      <c r="C1372" s="4">
        <v>1.0724528</v>
      </c>
      <c r="D1372" s="4">
        <v>-29.242205999999999</v>
      </c>
      <c r="E1372" s="4">
        <f>((-37.5544692/(10/9))+-10.5)+-0.4</f>
        <v>-44.699022279999994</v>
      </c>
      <c r="F1372" s="4">
        <f>((-0.63457268*(1.3/1.5))*0.6)-0.3</f>
        <v>-0.62997779359999995</v>
      </c>
    </row>
    <row r="1373" spans="1:6" x14ac:dyDescent="0.4">
      <c r="A1373" s="4">
        <v>1199.822175</v>
      </c>
      <c r="B1373" s="4">
        <v>1.0459999</v>
      </c>
      <c r="C1373" s="4">
        <v>1.0726918999999999</v>
      </c>
      <c r="D1373" s="4">
        <v>-29.241230999999999</v>
      </c>
      <c r="E1373" s="4">
        <f>((-37.5510015/(10/9))+-10.5)+-0.4</f>
        <v>-44.695901349999993</v>
      </c>
      <c r="F1373" s="4">
        <f>((-0.63446379*(1.3/1.5))*0.6)-0.3</f>
        <v>-0.62992117079999999</v>
      </c>
    </row>
    <row r="1374" spans="1:6" x14ac:dyDescent="0.4">
      <c r="A1374" s="4">
        <v>1200.6971000000001</v>
      </c>
      <c r="B1374" s="4">
        <v>1.0462537000000001</v>
      </c>
      <c r="C1374" s="4">
        <v>1.0727416000000001</v>
      </c>
      <c r="D1374" s="4">
        <v>-29.240541</v>
      </c>
      <c r="E1374" s="4">
        <f>((-37.5602643/(10/9))+-10.5)+-0.4</f>
        <v>-44.70423787</v>
      </c>
      <c r="F1374" s="4">
        <f>((-0.63440627*(1.3/1.5))*0.6)-0.3</f>
        <v>-0.62989126039999999</v>
      </c>
    </row>
    <row r="1375" spans="1:6" x14ac:dyDescent="0.4">
      <c r="A1375" s="4">
        <v>1201.5720249999999</v>
      </c>
      <c r="B1375" s="4">
        <v>1.0461715</v>
      </c>
      <c r="C1375" s="4">
        <v>1.0728481000000001</v>
      </c>
      <c r="D1375" s="4">
        <v>-29.239872999999999</v>
      </c>
      <c r="E1375" s="4">
        <f>((-37.5288642/(10/9))+-10.5)+-0.4</f>
        <v>-44.675977779999997</v>
      </c>
      <c r="F1375" s="4">
        <f>((-0.63441426*(1.3/1.5))*0.6)-0.3</f>
        <v>-0.62989541520000003</v>
      </c>
    </row>
    <row r="1376" spans="1:6" x14ac:dyDescent="0.4">
      <c r="A1376" s="4">
        <v>1202.44695</v>
      </c>
      <c r="B1376" s="4">
        <v>1.0464233000000001</v>
      </c>
      <c r="C1376" s="4">
        <v>1.0730743</v>
      </c>
      <c r="D1376" s="4">
        <v>-29.239452</v>
      </c>
      <c r="E1376" s="4">
        <f>((-37.5253146/(10/9))+-10.5)+-0.4</f>
        <v>-44.67278314</v>
      </c>
      <c r="F1376" s="4">
        <f>((-0.63431972*(1.3/1.5))*0.6)-0.3</f>
        <v>-0.62984625439999997</v>
      </c>
    </row>
    <row r="1377" spans="1:6" x14ac:dyDescent="0.4">
      <c r="A1377" s="4">
        <v>1203.3218750000001</v>
      </c>
      <c r="B1377" s="4">
        <v>1.0462461000000001</v>
      </c>
      <c r="C1377" s="4">
        <v>1.0733296000000001</v>
      </c>
      <c r="D1377" s="4">
        <v>-29.238754</v>
      </c>
      <c r="E1377" s="4">
        <f>((-37.5295266/(10/9))+-10.5)+-0.4</f>
        <v>-44.676573939999997</v>
      </c>
      <c r="F1377" s="4">
        <f>((-0.63423616*(1.3/1.5))*0.6)-0.3</f>
        <v>-0.62980280320000004</v>
      </c>
    </row>
    <row r="1378" spans="1:6" x14ac:dyDescent="0.4">
      <c r="A1378" s="4">
        <v>1204.1967999999999</v>
      </c>
      <c r="B1378" s="4">
        <v>1.0464472</v>
      </c>
      <c r="C1378" s="4">
        <v>1.0734092</v>
      </c>
      <c r="D1378" s="4">
        <v>-29.237904999999998</v>
      </c>
      <c r="E1378" s="4">
        <f>((-37.5845544/(10/9))+-10.5)+-0.4</f>
        <v>-44.726098960000002</v>
      </c>
      <c r="F1378" s="4">
        <f>((-0.63420367*(1.3/1.5))*0.6)-0.3</f>
        <v>-0.62978590840000004</v>
      </c>
    </row>
    <row r="1379" spans="1:6" x14ac:dyDescent="0.4">
      <c r="A1379" s="4">
        <v>1205.071725</v>
      </c>
      <c r="B1379" s="4">
        <v>1.0465549999999999</v>
      </c>
      <c r="C1379" s="4">
        <v>1.0736238</v>
      </c>
      <c r="D1379" s="4">
        <v>-29.237130000000001</v>
      </c>
      <c r="E1379" s="4">
        <f>((-37.4555583/(10/9))+-10.5)+-0.4</f>
        <v>-44.610002469999998</v>
      </c>
      <c r="F1379" s="4">
        <f>((-0.6342206*(1.3/1.5))*0.6)-0.3</f>
        <v>-0.62979471200000003</v>
      </c>
    </row>
    <row r="1380" spans="1:6" x14ac:dyDescent="0.4">
      <c r="A1380" s="4">
        <v>1205.9466499999999</v>
      </c>
      <c r="B1380" s="4">
        <v>1.0467952</v>
      </c>
      <c r="C1380" s="4">
        <v>1.0737715000000001</v>
      </c>
      <c r="D1380" s="4">
        <v>-29.236695000000001</v>
      </c>
      <c r="E1380" s="4">
        <f>((-37.5442659/(10/9))+-10.5)+-0.4</f>
        <v>-44.689839309999996</v>
      </c>
      <c r="F1380" s="4">
        <f>((-0.6341964*(1.3/1.5))*0.6)-0.3</f>
        <v>-0.629782128</v>
      </c>
    </row>
    <row r="1381" spans="1:6" x14ac:dyDescent="0.4">
      <c r="A1381" s="4">
        <v>1206.8215749999999</v>
      </c>
      <c r="B1381" s="4">
        <v>1.0468887</v>
      </c>
      <c r="C1381" s="4">
        <v>1.0737608999999999</v>
      </c>
      <c r="D1381" s="4">
        <v>-29.236013</v>
      </c>
      <c r="E1381" s="4">
        <f>((-37.5504732/(10/9))+-10.5)+-0.4</f>
        <v>-44.695425879999995</v>
      </c>
      <c r="F1381" s="4">
        <f>((-0.63416117*(1.3/1.5))*0.6)-0.3</f>
        <v>-0.62976380840000001</v>
      </c>
    </row>
    <row r="1382" spans="1:6" x14ac:dyDescent="0.4">
      <c r="A1382" s="4">
        <v>1207.6965</v>
      </c>
      <c r="B1382" s="4">
        <v>1.0470667</v>
      </c>
      <c r="C1382" s="4">
        <v>1.074136</v>
      </c>
      <c r="D1382" s="4">
        <v>-29.235332</v>
      </c>
      <c r="E1382" s="4">
        <f>((-37.5059097/(10/9))+-10.5)+-0.4</f>
        <v>-44.655318729999991</v>
      </c>
      <c r="F1382" s="4">
        <f>((-0.63415861*(1.3/1.5))*0.6)-0.3</f>
        <v>-0.62976247719999989</v>
      </c>
    </row>
    <row r="1383" spans="1:6" x14ac:dyDescent="0.4">
      <c r="A1383" s="4">
        <v>1208.5714250000001</v>
      </c>
      <c r="B1383" s="4">
        <v>1.0470862000000001</v>
      </c>
      <c r="C1383" s="4">
        <v>1.0739231</v>
      </c>
      <c r="D1383" s="4">
        <v>-29.234949999999998</v>
      </c>
      <c r="E1383" s="4">
        <f>((-37.5005673/(10/9))+-10.5)+-0.4</f>
        <v>-44.650510569999994</v>
      </c>
      <c r="F1383" s="4">
        <f>((-0.6341297*(1.3/1.5))*0.6)-0.3</f>
        <v>-0.62974744399999993</v>
      </c>
    </row>
    <row r="1384" spans="1:6" x14ac:dyDescent="0.4">
      <c r="A1384" s="4">
        <v>1209.4463500000002</v>
      </c>
      <c r="B1384" s="4">
        <v>1.0470037000000001</v>
      </c>
      <c r="C1384" s="4">
        <v>1.0740197</v>
      </c>
      <c r="D1384" s="4">
        <v>-29.234223999999998</v>
      </c>
      <c r="E1384" s="4">
        <f>((-37.5733971/(10/9))+-10.5)+-0.4</f>
        <v>-44.716057389999996</v>
      </c>
      <c r="F1384" s="4">
        <f>((-0.63401222*(1.3/1.5))*0.6)-0.3</f>
        <v>-0.62968635439999998</v>
      </c>
    </row>
    <row r="1385" spans="1:6" x14ac:dyDescent="0.4">
      <c r="A1385" s="4">
        <v>1210.321275</v>
      </c>
      <c r="B1385" s="4">
        <v>1.0472676999999999</v>
      </c>
      <c r="C1385" s="4">
        <v>1.0742368</v>
      </c>
      <c r="D1385" s="4">
        <v>-29.233846</v>
      </c>
      <c r="E1385" s="4">
        <f>((-37.4903748/(10/9))+-10.5)+-0.4</f>
        <v>-44.641337319999998</v>
      </c>
      <c r="F1385" s="4">
        <f>((-0.63395369*(1.3/1.5))*0.6)-0.3</f>
        <v>-0.62965591880000005</v>
      </c>
    </row>
    <row r="1386" spans="1:6" x14ac:dyDescent="0.4">
      <c r="A1386" s="4">
        <v>1211.1961999999999</v>
      </c>
      <c r="B1386" s="4">
        <v>1.0471957999999999</v>
      </c>
      <c r="C1386" s="4">
        <v>1.0743262</v>
      </c>
      <c r="D1386" s="4">
        <v>-29.234143</v>
      </c>
      <c r="E1386" s="4">
        <f>((-37.490247/(10/9))+-10.5)+-0.4</f>
        <v>-44.641222299999995</v>
      </c>
      <c r="F1386" s="4">
        <f>((-0.63394421*(1.3/1.5))*0.6)-0.3</f>
        <v>-0.62965098919999996</v>
      </c>
    </row>
    <row r="1387" spans="1:6" x14ac:dyDescent="0.4">
      <c r="A1387" s="4">
        <v>1212.0711249999999</v>
      </c>
      <c r="B1387" s="4">
        <v>1.0473237</v>
      </c>
      <c r="C1387" s="4">
        <v>1.0744123000000001</v>
      </c>
      <c r="D1387" s="4">
        <v>-29.233750999999998</v>
      </c>
      <c r="E1387" s="4">
        <f>((-37.5052536/(10/9))+-10.5)+-0.4</f>
        <v>-44.654728239999997</v>
      </c>
      <c r="F1387" s="4">
        <f>((-0.63392144*(1.3/1.5))*0.6)-0.3</f>
        <v>-0.62963914879999994</v>
      </c>
    </row>
    <row r="1388" spans="1:6" x14ac:dyDescent="0.4">
      <c r="A1388" s="4">
        <v>1212.94605</v>
      </c>
      <c r="B1388" s="4">
        <v>1.0476108</v>
      </c>
      <c r="C1388" s="4">
        <v>1.0747504000000001</v>
      </c>
      <c r="D1388" s="4">
        <v>-29.233552</v>
      </c>
      <c r="E1388" s="4">
        <f>((-37.5286311/(10/9))+-10.5)+-0.4</f>
        <v>-44.675767989999997</v>
      </c>
      <c r="F1388" s="4">
        <f>((-0.63386881*(1.3/1.5))*0.6)-0.3</f>
        <v>-0.62961178119999994</v>
      </c>
    </row>
    <row r="1389" spans="1:6" x14ac:dyDescent="0.4">
      <c r="A1389" s="4">
        <v>1213.8209750000001</v>
      </c>
      <c r="B1389" s="4">
        <v>1.0476774</v>
      </c>
      <c r="C1389" s="4">
        <v>1.0749928</v>
      </c>
      <c r="D1389" s="4">
        <v>-29.233606999999999</v>
      </c>
      <c r="E1389" s="4">
        <f>((-37.4226921/(10/9))+-10.5)+-0.4</f>
        <v>-44.580422889999994</v>
      </c>
      <c r="F1389" s="4">
        <f>((-0.63380569*(1.3/1.5))*0.6)-0.3</f>
        <v>-0.62957895880000003</v>
      </c>
    </row>
    <row r="1390" spans="1:6" x14ac:dyDescent="0.4">
      <c r="A1390" s="4">
        <v>1214.6958999999999</v>
      </c>
      <c r="B1390" s="4">
        <v>1.0479008999999999</v>
      </c>
      <c r="C1390" s="4">
        <v>1.0751256</v>
      </c>
      <c r="D1390" s="4">
        <v>-29.233642</v>
      </c>
      <c r="E1390" s="4">
        <f>((-37.4854752/(10/9))+-10.5)+-0.4</f>
        <v>-44.636927679999999</v>
      </c>
      <c r="F1390" s="4">
        <f>((-0.63384432*(1.3/1.5))*0.6)-0.3</f>
        <v>-0.62959904640000008</v>
      </c>
    </row>
    <row r="1391" spans="1:6" x14ac:dyDescent="0.4">
      <c r="A1391" s="4">
        <v>1215.570825</v>
      </c>
      <c r="B1391" s="4">
        <v>1.0478381999999999</v>
      </c>
      <c r="C1391" s="4">
        <v>1.0750865999999999</v>
      </c>
      <c r="D1391" s="4">
        <v>-29.233654999999999</v>
      </c>
      <c r="E1391" s="4">
        <f>((-37.3775589/(10/9))+-10.5)+-0.4</f>
        <v>-44.539803009999993</v>
      </c>
      <c r="F1391" s="4">
        <f>((-0.63382661*(1.3/1.5))*0.6)-0.3</f>
        <v>-0.62958983719999995</v>
      </c>
    </row>
    <row r="1392" spans="1:6" x14ac:dyDescent="0.4">
      <c r="A1392" s="4">
        <v>1216.4457500000001</v>
      </c>
      <c r="B1392" s="4">
        <v>1.0481161000000001</v>
      </c>
      <c r="C1392" s="4">
        <v>1.0753855999999999</v>
      </c>
      <c r="D1392" s="4">
        <v>-29.233547999999999</v>
      </c>
      <c r="E1392" s="4">
        <f>((-37.4320989/(10/9))+-10.5)+-0.4</f>
        <v>-44.588889009999995</v>
      </c>
      <c r="F1392" s="4">
        <f>((-0.63390517*(1.3/1.5))*0.6)-0.3</f>
        <v>-0.62963068840000003</v>
      </c>
    </row>
    <row r="1393" spans="1:6" x14ac:dyDescent="0.4">
      <c r="A1393" s="4">
        <v>1217.3206749999999</v>
      </c>
      <c r="B1393" s="4">
        <v>1.0479993000000001</v>
      </c>
      <c r="C1393" s="4">
        <v>1.0756380999999999</v>
      </c>
      <c r="D1393" s="4">
        <v>-29.233557999999999</v>
      </c>
      <c r="E1393" s="4">
        <f>((-37.4169582/(10/9))+-10.5)+-0.4</f>
        <v>-44.575262379999998</v>
      </c>
      <c r="F1393" s="4">
        <f>((-0.63398337*(1.3/1.5))*0.6)-0.3</f>
        <v>-0.62967135240000005</v>
      </c>
    </row>
    <row r="1394" spans="1:6" x14ac:dyDescent="0.4">
      <c r="A1394" s="4">
        <v>1218.1956</v>
      </c>
      <c r="B1394" s="4">
        <v>1.0483358</v>
      </c>
      <c r="C1394" s="4">
        <v>1.075771</v>
      </c>
      <c r="D1394" s="4">
        <v>-29.233688000000001</v>
      </c>
      <c r="E1394" s="4">
        <f>((-37.378314/(10/9))+-10.5)+-0.4</f>
        <v>-44.540482599999997</v>
      </c>
      <c r="F1394" s="4">
        <f>((-0.63408709*(1.3/1.5))*0.6)-0.3</f>
        <v>-0.62972528679999995</v>
      </c>
    </row>
    <row r="1395" spans="1:6" x14ac:dyDescent="0.4">
      <c r="A1395" s="4">
        <v>1219.0705249999999</v>
      </c>
      <c r="B1395" s="4">
        <v>1.0484184000000001</v>
      </c>
      <c r="C1395" s="4">
        <v>1.0757817000000001</v>
      </c>
      <c r="D1395" s="4">
        <v>-29.233730999999999</v>
      </c>
      <c r="E1395" s="4">
        <f>((-37.4559939/(10/9))+-10.5)+-0.4</f>
        <v>-44.610394509999999</v>
      </c>
      <c r="F1395" s="4">
        <f>((-0.63416749*(1.3/1.5))*0.6)-0.3</f>
        <v>-0.62976709480000004</v>
      </c>
    </row>
    <row r="1396" spans="1:6" x14ac:dyDescent="0.4">
      <c r="A1396" s="4">
        <v>1219.9454499999999</v>
      </c>
      <c r="B1396" s="4">
        <v>1.0484209</v>
      </c>
      <c r="C1396" s="4">
        <v>1.0759076999999999</v>
      </c>
      <c r="D1396" s="4">
        <v>-29.233498999999998</v>
      </c>
      <c r="E1396" s="4">
        <f>((-37.4300253/(10/9))+-10.5)+-0.4</f>
        <v>-44.587022769999997</v>
      </c>
      <c r="F1396" s="4">
        <f>((-0.63435733*(1.3/1.5))*0.6)-0.3</f>
        <v>-0.62986581159999999</v>
      </c>
    </row>
    <row r="1397" spans="1:6" x14ac:dyDescent="0.4">
      <c r="A1397" s="4">
        <v>1220.820375</v>
      </c>
      <c r="B1397" s="4">
        <v>1.0486268000000001</v>
      </c>
      <c r="C1397" s="4">
        <v>1.0759547</v>
      </c>
      <c r="D1397" s="4">
        <v>-29.233884</v>
      </c>
      <c r="E1397" s="4">
        <f>((-37.39662/(10/9))+-10.5)+-0.4</f>
        <v>-44.556957999999995</v>
      </c>
      <c r="F1397" s="4">
        <f>((-0.63451052*(1.3/1.5))*0.6)-0.3</f>
        <v>-0.62994547040000004</v>
      </c>
    </row>
    <row r="1398" spans="1:6" x14ac:dyDescent="0.4">
      <c r="A1398" s="4">
        <v>1221.6953000000001</v>
      </c>
      <c r="B1398" s="4">
        <v>1.0487806</v>
      </c>
      <c r="C1398" s="4">
        <v>1.0765248999999999</v>
      </c>
      <c r="D1398" s="4">
        <v>-29.23442</v>
      </c>
      <c r="E1398" s="4">
        <f>((-37.3723299/(10/9))+-10.5)+-0.4</f>
        <v>-44.535096909999993</v>
      </c>
      <c r="F1398" s="4">
        <f>((-0.63471603*(1.3/1.5))*0.6)-0.3</f>
        <v>-0.63005233560000007</v>
      </c>
    </row>
    <row r="1399" spans="1:6" x14ac:dyDescent="0.4">
      <c r="A1399" s="4">
        <v>1222.5702250000002</v>
      </c>
      <c r="B1399" s="4">
        <v>1.0489084</v>
      </c>
      <c r="C1399" s="4">
        <v>1.0765411</v>
      </c>
      <c r="D1399" s="4">
        <v>-29.235097</v>
      </c>
      <c r="E1399" s="4">
        <f>((-37.3532823/(10/9))+-10.5)+-0.4</f>
        <v>-44.517954069999995</v>
      </c>
      <c r="F1399" s="4">
        <f>((-0.63491285*(1.3/1.5))*0.6)-0.3</f>
        <v>-0.63015468199999991</v>
      </c>
    </row>
    <row r="1400" spans="1:6" x14ac:dyDescent="0.4">
      <c r="A1400" s="4">
        <v>1223.44515</v>
      </c>
      <c r="B1400" s="4">
        <v>1.0490172</v>
      </c>
      <c r="C1400" s="4">
        <v>1.0768658</v>
      </c>
      <c r="D1400" s="4">
        <v>-29.235208</v>
      </c>
      <c r="E1400" s="4">
        <f>((-37.4109912/(10/9))+-10.5)+-0.4</f>
        <v>-44.569892079999995</v>
      </c>
      <c r="F1400" s="4">
        <f>((-0.63506448*(1.3/1.5))*0.6)-0.3</f>
        <v>-0.63023352960000001</v>
      </c>
    </row>
    <row r="1401" spans="1:6" x14ac:dyDescent="0.4">
      <c r="A1401" s="4">
        <v>1224.3200749999999</v>
      </c>
      <c r="B1401" s="4">
        <v>1.0491995000000001</v>
      </c>
      <c r="C1401" s="4">
        <v>1.0769073</v>
      </c>
      <c r="D1401" s="4">
        <v>-29.235237999999999</v>
      </c>
      <c r="E1401" s="4">
        <f>((-37.3451319/(10/9))+-10.5)+-0.4</f>
        <v>-44.510618709999996</v>
      </c>
      <c r="F1401" s="4">
        <f>((-0.63530117*(1.3/1.5))*0.6)-0.3</f>
        <v>-0.63035660839999996</v>
      </c>
    </row>
    <row r="1402" spans="1:6" x14ac:dyDescent="0.4">
      <c r="A1402" s="4">
        <v>1225.1949999999999</v>
      </c>
      <c r="B1402" s="4">
        <v>1.0492437999999999</v>
      </c>
      <c r="C1402" s="4">
        <v>1.0768788</v>
      </c>
      <c r="D1402" s="4">
        <v>-29.235347000000001</v>
      </c>
      <c r="E1402" s="4">
        <f>((-37.3925511/(10/9))+-10.5)+-0.4</f>
        <v>-44.553295989999995</v>
      </c>
      <c r="F1402" s="4">
        <f>((-0.63558096*(1.3/1.5))*0.6)-0.3</f>
        <v>-0.6305020992</v>
      </c>
    </row>
    <row r="1403" spans="1:6" x14ac:dyDescent="0.4">
      <c r="A1403" s="4">
        <v>1226.069925</v>
      </c>
      <c r="B1403" s="4">
        <v>1.0491075999999999</v>
      </c>
      <c r="C1403" s="4">
        <v>1.0770455999999999</v>
      </c>
      <c r="D1403" s="4">
        <v>-29.235585</v>
      </c>
      <c r="E1403" s="4">
        <f>((-37.3689963/(10/9))+-10.5)+-0.4</f>
        <v>-44.532096669999994</v>
      </c>
      <c r="F1403" s="4">
        <f>((-0.63586497*(1.3/1.5))*0.6)-0.3</f>
        <v>-0.63064978439999997</v>
      </c>
    </row>
    <row r="1404" spans="1:6" x14ac:dyDescent="0.4">
      <c r="A1404" s="4">
        <v>1226.9448500000001</v>
      </c>
      <c r="B1404" s="4">
        <v>1.0493709</v>
      </c>
      <c r="C1404" s="4">
        <v>1.0773067000000001</v>
      </c>
      <c r="D1404" s="4">
        <v>-29.235681</v>
      </c>
      <c r="E1404" s="4">
        <f>((-37.362861/(10/9))+-10.5)+-0.4</f>
        <v>-44.5265749</v>
      </c>
      <c r="F1404" s="4">
        <f>((-0.63627362*(1.3/1.5))*0.6)-0.3</f>
        <v>-0.63086228239999997</v>
      </c>
    </row>
    <row r="1405" spans="1:6" x14ac:dyDescent="0.4">
      <c r="A1405" s="4">
        <v>1227.8197749999999</v>
      </c>
      <c r="B1405" s="4">
        <v>1.0494064999999999</v>
      </c>
      <c r="C1405" s="4">
        <v>1.0774098999999999</v>
      </c>
      <c r="D1405" s="4">
        <v>-29.235624999999999</v>
      </c>
      <c r="E1405" s="4">
        <f>((-37.3898358/(10/9))+-10.5)+-0.4</f>
        <v>-44.550852219999996</v>
      </c>
      <c r="F1405" s="4">
        <f>((-0.63665873*(1.3/1.5))*0.6)-0.3</f>
        <v>-0.63106253960000003</v>
      </c>
    </row>
    <row r="1406" spans="1:6" x14ac:dyDescent="0.4">
      <c r="A1406" s="4">
        <v>1228.6947</v>
      </c>
      <c r="B1406" s="4">
        <v>1.0496490000000001</v>
      </c>
      <c r="C1406" s="4">
        <v>1.07744</v>
      </c>
      <c r="D1406" s="4">
        <v>-29.235842999999999</v>
      </c>
      <c r="E1406" s="4">
        <f>((-37.2901518/(10/9))+-10.5)+-0.4</f>
        <v>-44.461136619999991</v>
      </c>
      <c r="F1406" s="4">
        <f>((-0.63708669*(1.3/1.5))*0.6)-0.3</f>
        <v>-0.63128507879999995</v>
      </c>
    </row>
    <row r="1407" spans="1:6" x14ac:dyDescent="0.4">
      <c r="A1407" s="4">
        <v>1229.5696250000001</v>
      </c>
      <c r="B1407" s="4">
        <v>1.0495718000000001</v>
      </c>
      <c r="C1407" s="4">
        <v>1.0775566000000001</v>
      </c>
      <c r="D1407" s="4">
        <v>-29.236038999999998</v>
      </c>
      <c r="E1407" s="4">
        <f>((-37.3361913/(10/9))+-10.5)+-0.4</f>
        <v>-44.502572170000001</v>
      </c>
      <c r="F1407" s="4">
        <f>((-0.63754648*(1.3/1.5))*0.6)-0.3</f>
        <v>-0.63152416960000002</v>
      </c>
    </row>
    <row r="1408" spans="1:6" x14ac:dyDescent="0.4">
      <c r="A1408" s="4">
        <v>1230.4445499999999</v>
      </c>
      <c r="B1408" s="4">
        <v>1.0497076999999999</v>
      </c>
      <c r="C1408" s="4">
        <v>1.0779102</v>
      </c>
      <c r="D1408" s="4">
        <v>-29.236200999999998</v>
      </c>
      <c r="E1408" s="4">
        <f>((-37.3100751/(10/9))+-10.5)+-0.4</f>
        <v>-44.479067589999993</v>
      </c>
      <c r="F1408" s="4">
        <f>((-0.63801324*(1.3/1.5))*0.6)-0.3</f>
        <v>-0.63176688479999998</v>
      </c>
    </row>
    <row r="1409" spans="1:6" x14ac:dyDescent="0.4">
      <c r="A1409" s="4">
        <v>1231.319475</v>
      </c>
      <c r="B1409" s="4">
        <v>1.0501558</v>
      </c>
      <c r="C1409" s="4">
        <v>1.0781577</v>
      </c>
      <c r="D1409" s="4">
        <v>-29.236616999999999</v>
      </c>
      <c r="E1409" s="4">
        <f>((-37.3408263/(10/9))+-10.5)+-0.4</f>
        <v>-44.506743669999999</v>
      </c>
      <c r="F1409" s="4">
        <f>((-0.63848633*(1.3/1.5))*0.6)-0.3</f>
        <v>-0.63201289159999996</v>
      </c>
    </row>
    <row r="1410" spans="1:6" x14ac:dyDescent="0.4">
      <c r="A1410" s="4">
        <v>1232.1943999999999</v>
      </c>
      <c r="B1410" s="4">
        <v>1.0501647999999999</v>
      </c>
      <c r="C1410" s="4">
        <v>1.0782881</v>
      </c>
      <c r="D1410" s="4">
        <v>-29.236818</v>
      </c>
      <c r="E1410" s="4">
        <f>((-37.3877451/(10/9))+-10.5)+-0.4</f>
        <v>-44.548970589999996</v>
      </c>
      <c r="F1410" s="4">
        <f>((-0.63897681*(1.3/1.5))*0.6)-0.3</f>
        <v>-0.63226794119999996</v>
      </c>
    </row>
    <row r="1411" spans="1:6" x14ac:dyDescent="0.4">
      <c r="A1411" s="4">
        <v>1233.0693249999999</v>
      </c>
      <c r="B1411" s="4">
        <v>1.0501029</v>
      </c>
      <c r="C1411" s="4">
        <v>1.0781204</v>
      </c>
      <c r="D1411" s="4">
        <v>-29.237179999999999</v>
      </c>
      <c r="E1411" s="4">
        <f>((-37.3467078/(10/9))+-10.5)+-0.4</f>
        <v>-44.512037019999994</v>
      </c>
      <c r="F1411" s="4">
        <f>((-0.63954651*(1.3/1.5))*0.6)-0.3</f>
        <v>-0.63256418519999991</v>
      </c>
    </row>
    <row r="1412" spans="1:6" x14ac:dyDescent="0.4">
      <c r="A1412" s="4">
        <v>1233.94425</v>
      </c>
      <c r="B1412" s="4">
        <v>1.0502719</v>
      </c>
      <c r="C1412" s="4">
        <v>1.0781807999999999</v>
      </c>
      <c r="D1412" s="4">
        <v>-29.237638</v>
      </c>
      <c r="E1412" s="4">
        <f>((-37.2538494/(10/9))+-10.5)+-0.4</f>
        <v>-44.428464459999994</v>
      </c>
      <c r="F1412" s="4">
        <f>((-0.64011323*(1.3/1.5))*0.6)-0.3</f>
        <v>-0.63285887959999998</v>
      </c>
    </row>
    <row r="1413" spans="1:6" x14ac:dyDescent="0.4">
      <c r="A1413" s="4">
        <v>1234.8191750000001</v>
      </c>
      <c r="B1413" s="4">
        <v>1.0504586</v>
      </c>
      <c r="C1413" s="4">
        <v>1.0785089000000001</v>
      </c>
      <c r="D1413" s="4">
        <v>-29.237566999999999</v>
      </c>
      <c r="E1413" s="4">
        <f>((-37.3039191/(10/9))+-10.5)+-0.4</f>
        <v>-44.473527189999999</v>
      </c>
      <c r="F1413" s="4">
        <f>((-0.64068794*(1.3/1.5))*0.6)-0.3</f>
        <v>-0.63315772879999999</v>
      </c>
    </row>
    <row r="1414" spans="1:6" x14ac:dyDescent="0.4">
      <c r="A1414" s="4">
        <v>1235.6941000000002</v>
      </c>
      <c r="B1414" s="4">
        <v>1.0504971000000001</v>
      </c>
      <c r="C1414" s="4">
        <v>1.0786937000000001</v>
      </c>
      <c r="D1414" s="4">
        <v>-29.238464999999998</v>
      </c>
      <c r="E1414" s="4">
        <f>((-37.3059828/(10/9))+-10.5)+-0.4</f>
        <v>-44.475384519999999</v>
      </c>
      <c r="F1414" s="4">
        <f>((-0.64122069*(1.3/1.5))*0.6)-0.3</f>
        <v>-0.6334347588</v>
      </c>
    </row>
    <row r="1415" spans="1:6" x14ac:dyDescent="0.4">
      <c r="A1415" s="4">
        <v>1236.569025</v>
      </c>
      <c r="B1415" s="4">
        <v>1.0506123000000001</v>
      </c>
      <c r="C1415" s="4">
        <v>1.0788481000000001</v>
      </c>
      <c r="D1415" s="4">
        <v>-29.238523000000001</v>
      </c>
      <c r="E1415" s="4">
        <f>((-37.2377025/(10/9))+-10.5)+-0.4</f>
        <v>-44.413932249999995</v>
      </c>
      <c r="F1415" s="4">
        <f>((-0.64177144*(1.3/1.5))*0.6)-0.3</f>
        <v>-0.63372114879999997</v>
      </c>
    </row>
    <row r="1416" spans="1:6" x14ac:dyDescent="0.4">
      <c r="A1416" s="4">
        <v>1237.4439499999999</v>
      </c>
      <c r="B1416" s="4">
        <v>1.0508313</v>
      </c>
      <c r="C1416" s="4">
        <v>1.0791786000000001</v>
      </c>
      <c r="D1416" s="4">
        <v>-29.238588</v>
      </c>
      <c r="E1416" s="4">
        <f>((-37.3427181/(10/9))+-10.5)+-0.4</f>
        <v>-44.508446289999995</v>
      </c>
      <c r="F1416" s="4">
        <f>((-0.64241964*(1.3/1.5))*0.6)-0.3</f>
        <v>-0.63405821279999997</v>
      </c>
    </row>
    <row r="1417" spans="1:6" x14ac:dyDescent="0.4">
      <c r="A1417" s="4">
        <v>1238.3188749999999</v>
      </c>
      <c r="B1417" s="4">
        <v>1.0509790999999999</v>
      </c>
      <c r="C1417" s="4">
        <v>1.0793451000000001</v>
      </c>
      <c r="D1417" s="4">
        <v>-29.238606999999998</v>
      </c>
      <c r="E1417" s="4">
        <f>((-37.2433437/(10/9))+-10.5)+-0.4</f>
        <v>-44.419009329999994</v>
      </c>
      <c r="F1417" s="4">
        <f>((-0.6430828*(1.3/1.5))*0.6)-0.3</f>
        <v>-0.63440305600000002</v>
      </c>
    </row>
    <row r="1418" spans="1:6" x14ac:dyDescent="0.4">
      <c r="A1418" s="4">
        <v>1239.1938</v>
      </c>
      <c r="B1418" s="4">
        <v>1.0511664999999999</v>
      </c>
      <c r="C1418" s="4">
        <v>1.0794634999999999</v>
      </c>
      <c r="D1418" s="4">
        <v>-29.238647</v>
      </c>
      <c r="E1418" s="4">
        <f>((-37.3028688/(10/9))+-10.5)+-0.4</f>
        <v>-44.472581919999996</v>
      </c>
      <c r="F1418" s="4">
        <f>((-0.64376479*(1.3/1.5))*0.6)-0.3</f>
        <v>-0.6347576908</v>
      </c>
    </row>
    <row r="1419" spans="1:6" x14ac:dyDescent="0.4">
      <c r="A1419" s="4">
        <v>1240.0687250000001</v>
      </c>
      <c r="B1419" s="4">
        <v>1.0509501000000001</v>
      </c>
      <c r="C1419" s="4">
        <v>1.0794128999999999</v>
      </c>
      <c r="D1419" s="4">
        <v>-29.238865999999998</v>
      </c>
      <c r="E1419" s="4">
        <f>((-37.3530249/(10/9))+-10.5)+-0.4</f>
        <v>-44.517722409999998</v>
      </c>
      <c r="F1419" s="4">
        <f>((-0.64441305*(1.3/1.5))*0.6)-0.3</f>
        <v>-0.63509478600000002</v>
      </c>
    </row>
    <row r="1420" spans="1:6" x14ac:dyDescent="0.4">
      <c r="A1420" s="4">
        <v>1240.9436499999999</v>
      </c>
      <c r="B1420" s="4">
        <v>1.0511386</v>
      </c>
      <c r="C1420" s="4">
        <v>1.0793265999999999</v>
      </c>
      <c r="D1420" s="4">
        <v>-29.239191999999999</v>
      </c>
      <c r="E1420" s="4">
        <f>((-37.1765295/(10/9))+-10.5)+-0.4</f>
        <v>-44.358876549999998</v>
      </c>
      <c r="F1420" s="4">
        <f>((-0.64506108*(1.3/1.5))*0.6)-0.3</f>
        <v>-0.63543176159999992</v>
      </c>
    </row>
    <row r="1421" spans="1:6" x14ac:dyDescent="0.4">
      <c r="A1421" s="4">
        <v>1241.818575</v>
      </c>
      <c r="B1421" s="4">
        <v>1.0514219</v>
      </c>
      <c r="C1421" s="4">
        <v>1.079644</v>
      </c>
      <c r="D1421" s="4">
        <v>-29.239331</v>
      </c>
      <c r="E1421" s="4">
        <f>((-37.2142395/(10/9))+-10.5)+-0.4</f>
        <v>-44.392815549999995</v>
      </c>
      <c r="F1421" s="4">
        <f>((-0.64572167*(1.3/1.5))*0.6)-0.3</f>
        <v>-0.63577526839999998</v>
      </c>
    </row>
    <row r="1422" spans="1:6" x14ac:dyDescent="0.4">
      <c r="A1422" s="4">
        <v>1242.6935000000001</v>
      </c>
      <c r="B1422" s="4">
        <v>1.0514486000000001</v>
      </c>
      <c r="C1422" s="4">
        <v>1.0798326</v>
      </c>
      <c r="D1422" s="4">
        <v>-29.239598000000001</v>
      </c>
      <c r="E1422" s="4">
        <f>((-37.2120084/(10/9))+-10.5)+-0.4</f>
        <v>-44.390807559999999</v>
      </c>
      <c r="F1422" s="4">
        <f>((-0.64631492*(1.3/1.5))*0.6)-0.3</f>
        <v>-0.63608375840000009</v>
      </c>
    </row>
    <row r="1423" spans="1:6" x14ac:dyDescent="0.4">
      <c r="A1423" s="4">
        <v>1243.5684249999999</v>
      </c>
      <c r="B1423" s="4">
        <v>1.0515325</v>
      </c>
      <c r="C1423" s="4">
        <v>1.0799831</v>
      </c>
      <c r="D1423" s="4">
        <v>-29.239656</v>
      </c>
      <c r="E1423" s="4">
        <f>((-37.1860803/(10/9))+-10.5)+-0.4</f>
        <v>-44.36747227</v>
      </c>
      <c r="F1423" s="4">
        <f>((-0.64700061*(1.3/1.5))*0.6)-0.3</f>
        <v>-0.63644031719999994</v>
      </c>
    </row>
    <row r="1424" spans="1:6" x14ac:dyDescent="0.4">
      <c r="A1424" s="4">
        <v>1244.44335</v>
      </c>
      <c r="B1424" s="4">
        <v>1.0517178</v>
      </c>
      <c r="C1424" s="4">
        <v>1.0801978999999999</v>
      </c>
      <c r="D1424" s="4">
        <v>-29.240123000000001</v>
      </c>
      <c r="E1424" s="4">
        <f>((-37.2556071/(10/9))+-10.5)+-0.4</f>
        <v>-44.430046389999994</v>
      </c>
      <c r="F1424" s="4">
        <f>((-0.64781451*(1.3/1.5))*0.6)-0.3</f>
        <v>-0.63686354519999999</v>
      </c>
    </row>
    <row r="1425" spans="1:6" x14ac:dyDescent="0.4">
      <c r="A1425" s="4">
        <v>1245.3182749999999</v>
      </c>
      <c r="B1425" s="4">
        <v>1.0516715999999999</v>
      </c>
      <c r="C1425" s="4">
        <v>1.0800725</v>
      </c>
      <c r="D1425" s="4">
        <v>-29.240355999999998</v>
      </c>
      <c r="E1425" s="4">
        <f>((-37.1766771/(10/9))+-10.5)+-0.4</f>
        <v>-44.359009389999997</v>
      </c>
      <c r="F1425" s="4">
        <f>((-0.64855736*(1.3/1.5))*0.6)-0.3</f>
        <v>-0.63724982720000001</v>
      </c>
    </row>
    <row r="1426" spans="1:6" x14ac:dyDescent="0.4">
      <c r="A1426" s="4">
        <v>1246.1931999999999</v>
      </c>
      <c r="B1426" s="4">
        <v>1.0519208</v>
      </c>
      <c r="C1426" s="4">
        <v>1.0801206999999999</v>
      </c>
      <c r="D1426" s="4">
        <v>-29.240227999999998</v>
      </c>
      <c r="E1426" s="4">
        <f>((-37.2323979/(10/9))+-10.5)+-0.4</f>
        <v>-44.40915811</v>
      </c>
      <c r="F1426" s="4">
        <f>((-0.64931518*(1.3/1.5))*0.6)-0.3</f>
        <v>-0.63764389359999996</v>
      </c>
    </row>
    <row r="1427" spans="1:6" x14ac:dyDescent="0.4">
      <c r="A1427" s="4">
        <v>1247.068125</v>
      </c>
      <c r="B1427" s="4">
        <v>1.0520408000000001</v>
      </c>
      <c r="C1427" s="4">
        <v>1.0805365</v>
      </c>
      <c r="D1427" s="4">
        <v>-29.240400000000001</v>
      </c>
      <c r="E1427" s="4">
        <f>((-37.1900601/(10/9))+-10.5)+-0.4</f>
        <v>-44.371054089999994</v>
      </c>
      <c r="F1427" s="4">
        <f>((-0.65009189*(1.3/1.5))*0.6)-0.3</f>
        <v>-0.63804778279999996</v>
      </c>
    </row>
    <row r="1428" spans="1:6" x14ac:dyDescent="0.4">
      <c r="A1428" s="4">
        <v>1247.9430500000001</v>
      </c>
      <c r="B1428" s="4">
        <v>1.0521507999999999</v>
      </c>
      <c r="C1428" s="4">
        <v>1.0807462999999999</v>
      </c>
      <c r="D1428" s="4">
        <v>-29.240537</v>
      </c>
      <c r="E1428" s="4">
        <f>((-37.1919033/(10/9))+-10.5)+-0.4</f>
        <v>-44.372712969999995</v>
      </c>
      <c r="F1428" s="4">
        <f>((-0.65086728*(1.3/1.5))*0.6)-0.3</f>
        <v>-0.63845098560000002</v>
      </c>
    </row>
    <row r="1429" spans="1:6" x14ac:dyDescent="0.4">
      <c r="A1429" s="4">
        <v>1248.8179750000002</v>
      </c>
      <c r="B1429" s="4">
        <v>1.0524739000000001</v>
      </c>
      <c r="C1429" s="4">
        <v>1.0807905</v>
      </c>
      <c r="D1429" s="4">
        <v>-29.240617</v>
      </c>
      <c r="E1429" s="4">
        <f>((-37.1513466/(10/9))+-10.5)+-0.4</f>
        <v>-44.336211939999991</v>
      </c>
      <c r="F1429" s="4">
        <f>((-0.65169215*(1.3/1.5))*0.6)-0.3</f>
        <v>-0.63887991799999999</v>
      </c>
    </row>
    <row r="1430" spans="1:6" x14ac:dyDescent="0.4">
      <c r="A1430" s="4">
        <v>1249.6929</v>
      </c>
      <c r="B1430" s="4">
        <v>1.0525100000000001</v>
      </c>
      <c r="C1430" s="4">
        <v>1.0811782000000001</v>
      </c>
      <c r="D1430" s="4">
        <v>-29.240376999999999</v>
      </c>
      <c r="E1430" s="4">
        <f>((-37.1877453/(10/9))+-10.5)+-0.4</f>
        <v>-44.368970769999997</v>
      </c>
      <c r="F1430" s="4">
        <f>((-0.65249383*(1.3/1.5))*0.6)-0.3</f>
        <v>-0.63929679160000008</v>
      </c>
    </row>
    <row r="1431" spans="1:6" x14ac:dyDescent="0.4">
      <c r="A1431" s="4">
        <v>1250.5678249999999</v>
      </c>
      <c r="B1431" s="4">
        <v>1.0526165000000001</v>
      </c>
      <c r="C1431" s="4">
        <v>1.0811736999999999</v>
      </c>
      <c r="D1431" s="4">
        <v>-29.240254999999998</v>
      </c>
      <c r="E1431" s="4">
        <f>((-37.1354544/(10/9))+-10.5)+-0.4</f>
        <v>-44.321908959999995</v>
      </c>
      <c r="F1431" s="4">
        <f>((-0.65339041*(1.3/1.5))*0.6)-0.3</f>
        <v>-0.63976301319999995</v>
      </c>
    </row>
    <row r="1432" spans="1:6" x14ac:dyDescent="0.4">
      <c r="A1432" s="4">
        <v>1251.4427499999999</v>
      </c>
      <c r="B1432" s="4">
        <v>1.0526857000000001</v>
      </c>
      <c r="C1432" s="4">
        <v>1.0811645999999999</v>
      </c>
      <c r="D1432" s="4">
        <v>-29.240095999999998</v>
      </c>
      <c r="E1432" s="4">
        <f>((-37.1254122/(10/9))+-10.5)+-0.4</f>
        <v>-44.31287098</v>
      </c>
      <c r="F1432" s="4">
        <f>((-0.65423036*(1.3/1.5))*0.6)-0.3</f>
        <v>-0.64019978720000004</v>
      </c>
    </row>
    <row r="1433" spans="1:6" x14ac:dyDescent="0.4">
      <c r="A1433" s="4">
        <v>1252.317675</v>
      </c>
      <c r="B1433" s="4">
        <v>1.0526787</v>
      </c>
      <c r="C1433" s="4">
        <v>1.0813793</v>
      </c>
      <c r="D1433" s="4">
        <v>-29.240182000000001</v>
      </c>
      <c r="E1433" s="4">
        <f>((-37.0957212/(10/9))+-10.5)+-0.4</f>
        <v>-44.286149079999994</v>
      </c>
      <c r="F1433" s="4">
        <f>((-0.65511829*(1.3/1.5))*0.6)-0.3</f>
        <v>-0.6406615108</v>
      </c>
    </row>
    <row r="1434" spans="1:6" x14ac:dyDescent="0.4">
      <c r="A1434" s="4">
        <v>1253.1926000000001</v>
      </c>
      <c r="B1434" s="4">
        <v>1.0526869999999999</v>
      </c>
      <c r="C1434" s="4">
        <v>1.0815992000000001</v>
      </c>
      <c r="D1434" s="4">
        <v>-29.239695999999999</v>
      </c>
      <c r="E1434" s="4">
        <f>((-37.1950515/(10/9))+-10.5)+-0.4</f>
        <v>-44.375546349999993</v>
      </c>
      <c r="F1434" s="4">
        <f>((-0.65593344*(1.3/1.5))*0.6)-0.3</f>
        <v>-0.64108538879999999</v>
      </c>
    </row>
    <row r="1435" spans="1:6" x14ac:dyDescent="0.4">
      <c r="A1435" s="4">
        <v>1254.0675249999999</v>
      </c>
      <c r="B1435" s="4">
        <v>1.0530424</v>
      </c>
      <c r="C1435" s="4">
        <v>1.0815380999999999</v>
      </c>
      <c r="D1435" s="4">
        <v>-29.239702999999999</v>
      </c>
      <c r="E1435" s="4">
        <f>((-37.0903824/(10/9))+-10.5)+-0.4</f>
        <v>-44.281344159999996</v>
      </c>
      <c r="F1435" s="4">
        <f>((-0.65681541*(1.3/1.5))*0.6)-0.3</f>
        <v>-0.64154401319999999</v>
      </c>
    </row>
    <row r="1436" spans="1:6" x14ac:dyDescent="0.4">
      <c r="A1436" s="4">
        <v>1254.94245</v>
      </c>
      <c r="B1436" s="4">
        <v>1.0528538999999999</v>
      </c>
      <c r="C1436" s="4">
        <v>1.0817162</v>
      </c>
      <c r="D1436" s="4">
        <v>-29.239639</v>
      </c>
      <c r="E1436" s="4">
        <f>((-37.1461005/(10/9))+-10.5)+-0.4</f>
        <v>-44.331490449999997</v>
      </c>
      <c r="F1436" s="4">
        <f>((-0.65762353*(1.3/1.5))*0.6)-0.3</f>
        <v>-0.64196423559999993</v>
      </c>
    </row>
    <row r="1437" spans="1:6" x14ac:dyDescent="0.4">
      <c r="A1437" s="4">
        <v>1255.8173750000001</v>
      </c>
      <c r="B1437" s="4">
        <v>1.0529828000000001</v>
      </c>
      <c r="C1437" s="4">
        <v>1.0817698</v>
      </c>
      <c r="D1437" s="4">
        <v>-29.239494999999998</v>
      </c>
      <c r="E1437" s="4">
        <f>((-37.0761039/(10/9))+-10.5)+-0.4</f>
        <v>-44.268493509999999</v>
      </c>
      <c r="F1437" s="4">
        <f>((-0.65843087*(1.3/1.5))*0.6)-0.3</f>
        <v>-0.64238405239999996</v>
      </c>
    </row>
    <row r="1438" spans="1:6" x14ac:dyDescent="0.4">
      <c r="A1438" s="4">
        <v>1256.6923000000002</v>
      </c>
      <c r="B1438" s="4">
        <v>1.0533091999999999</v>
      </c>
      <c r="C1438" s="4">
        <v>1.0820532</v>
      </c>
      <c r="D1438" s="4">
        <v>-29.238816</v>
      </c>
      <c r="E1438" s="4">
        <f>((-37.0848762/(10/9))+-10.5)+-0.4</f>
        <v>-44.276388579999995</v>
      </c>
      <c r="F1438" s="4">
        <f>((-0.65923285*(1.3/1.5))*0.6)-0.3</f>
        <v>-0.64280108199999997</v>
      </c>
    </row>
    <row r="1439" spans="1:6" x14ac:dyDescent="0.4">
      <c r="A1439" s="4">
        <v>1257.567225</v>
      </c>
      <c r="B1439" s="4">
        <v>1.0534775000000001</v>
      </c>
      <c r="C1439" s="4">
        <v>1.0822560000000001</v>
      </c>
      <c r="D1439" s="4">
        <v>-29.238260999999998</v>
      </c>
      <c r="E1439" s="4">
        <f>((-37.0998549/(10/9))+-10.5)+-0.4</f>
        <v>-44.289869409999994</v>
      </c>
      <c r="F1439" s="4">
        <f>((-0.66006124*(1.3/1.5))*0.6)-0.3</f>
        <v>-0.64323184479999995</v>
      </c>
    </row>
    <row r="1440" spans="1:6" x14ac:dyDescent="0.4">
      <c r="A1440" s="4">
        <v>1258.4421499999999</v>
      </c>
      <c r="B1440" s="4">
        <v>1.0534673999999999</v>
      </c>
      <c r="C1440" s="4">
        <v>1.0824149999999999</v>
      </c>
      <c r="D1440" s="4">
        <v>-29.237842000000001</v>
      </c>
      <c r="E1440" s="4">
        <f>((-37.1302632/(10/9))+-10.5)+-0.4</f>
        <v>-44.317236879999996</v>
      </c>
      <c r="F1440" s="4">
        <f>((-0.66093707*(1.3/1.5))*0.6)-0.3</f>
        <v>-0.64368727640000001</v>
      </c>
    </row>
    <row r="1441" spans="1:6" x14ac:dyDescent="0.4">
      <c r="A1441" s="4">
        <v>1259.3170749999999</v>
      </c>
      <c r="B1441" s="4">
        <v>1.0535380999999999</v>
      </c>
      <c r="C1441" s="4">
        <v>1.0825989</v>
      </c>
      <c r="D1441" s="4">
        <v>-29.237559999999998</v>
      </c>
      <c r="E1441" s="4">
        <f>((-37.0630269/(10/9))+-10.5)+-0.4</f>
        <v>-44.256724209999994</v>
      </c>
      <c r="F1441" s="4">
        <f>((-0.66185188*(1.3/1.5))*0.6)-0.3</f>
        <v>-0.64416297759999996</v>
      </c>
    </row>
    <row r="1442" spans="1:6" x14ac:dyDescent="0.4">
      <c r="A1442" s="4">
        <v>1260.192</v>
      </c>
      <c r="B1442" s="4">
        <v>1.0537326</v>
      </c>
      <c r="C1442" s="4">
        <v>1.0825969</v>
      </c>
      <c r="D1442" s="4">
        <v>-29.237569000000001</v>
      </c>
      <c r="E1442" s="4">
        <f>((-37.132587/(10/9))+-10.5)+-0.4</f>
        <v>-44.319328299999995</v>
      </c>
      <c r="F1442" s="4">
        <f>((-0.66271412*(1.3/1.5))*0.6)-0.3</f>
        <v>-0.64461134239999995</v>
      </c>
    </row>
    <row r="1443" spans="1:6" x14ac:dyDescent="0.4">
      <c r="A1443" s="4">
        <v>1261.0669250000001</v>
      </c>
      <c r="B1443" s="4">
        <v>1.0536028</v>
      </c>
      <c r="C1443" s="4">
        <v>1.0827572000000001</v>
      </c>
      <c r="D1443" s="4">
        <v>-29.236884</v>
      </c>
      <c r="E1443" s="4">
        <f>((-37.1416167/(10/9))+-10.5)+-0.4</f>
        <v>-44.327455029999996</v>
      </c>
      <c r="F1443" s="4">
        <f>((-0.66356057*(1.3/1.5))*0.6)-0.3</f>
        <v>-0.64505149640000004</v>
      </c>
    </row>
    <row r="1444" spans="1:6" x14ac:dyDescent="0.4">
      <c r="A1444" s="4">
        <v>1261.9418500000002</v>
      </c>
      <c r="B1444" s="4">
        <v>1.0536673000000001</v>
      </c>
      <c r="C1444" s="4">
        <v>1.0827905</v>
      </c>
      <c r="D1444" s="4">
        <v>-29.236621</v>
      </c>
      <c r="E1444" s="4">
        <f>((-37.095732/(10/9))+-10.5)+-0.4</f>
        <v>-44.286158799999995</v>
      </c>
      <c r="F1444" s="4">
        <f>((-0.66434115*(1.3/1.5))*0.6)-0.3</f>
        <v>-0.64545739800000002</v>
      </c>
    </row>
    <row r="1445" spans="1:6" x14ac:dyDescent="0.4">
      <c r="A1445" s="4">
        <v>1262.816775</v>
      </c>
      <c r="B1445" s="4">
        <v>1.05393</v>
      </c>
      <c r="C1445" s="4">
        <v>1.0830184</v>
      </c>
      <c r="D1445" s="4">
        <v>-29.236139999999999</v>
      </c>
      <c r="E1445" s="4">
        <f>((-37.0845945/(10/9))+-10.5)+-0.4</f>
        <v>-44.276135050000001</v>
      </c>
      <c r="F1445" s="4">
        <f>((-0.66510886*(1.3/1.5))*0.6)-0.3</f>
        <v>-0.64585660720000004</v>
      </c>
    </row>
    <row r="1446" spans="1:6" x14ac:dyDescent="0.4">
      <c r="A1446" s="4">
        <v>1263.6916999999999</v>
      </c>
      <c r="B1446" s="4">
        <v>1.0540783</v>
      </c>
      <c r="C1446" s="4">
        <v>1.0832242000000001</v>
      </c>
      <c r="D1446" s="4">
        <v>-29.235824000000001</v>
      </c>
      <c r="E1446" s="4">
        <f>((-37.1150199/(10/9))+-10.5)+-0.4</f>
        <v>-44.303517909999997</v>
      </c>
      <c r="F1446" s="4">
        <f>((-0.66598523*(1.3/1.5))*0.6)-0.3</f>
        <v>-0.64631231960000002</v>
      </c>
    </row>
    <row r="1447" spans="1:6" x14ac:dyDescent="0.4">
      <c r="A1447" s="4">
        <v>1264.5666249999999</v>
      </c>
      <c r="B1447" s="4">
        <v>1.0541358000000001</v>
      </c>
      <c r="C1447" s="4">
        <v>1.0833328</v>
      </c>
      <c r="D1447" s="4">
        <v>-29.235499999999998</v>
      </c>
      <c r="E1447" s="4">
        <f>((-37.0852263/(10/9))+-10.5)+-0.4</f>
        <v>-44.276703669999996</v>
      </c>
      <c r="F1447" s="4">
        <f>((-0.66684681*(1.3/1.5))*0.6)-0.3</f>
        <v>-0.64676034120000003</v>
      </c>
    </row>
    <row r="1448" spans="1:6" x14ac:dyDescent="0.4">
      <c r="A1448" s="4">
        <v>1265.44155</v>
      </c>
      <c r="B1448" s="4">
        <v>1.0542381000000001</v>
      </c>
      <c r="C1448" s="4">
        <v>1.0836125999999999</v>
      </c>
      <c r="D1448" s="4">
        <v>-29.234984999999998</v>
      </c>
      <c r="E1448" s="4">
        <f>((-37.0509075/(10/9))+-10.5)+-0.4</f>
        <v>-44.245816749999996</v>
      </c>
      <c r="F1448" s="4">
        <f>((-0.6676631*(1.3/1.5))*0.6)-0.3</f>
        <v>-0.647184812</v>
      </c>
    </row>
    <row r="1449" spans="1:6" x14ac:dyDescent="0.4">
      <c r="A1449" s="4">
        <v>1266.3164750000001</v>
      </c>
      <c r="B1449" s="4">
        <v>1.0542788999999999</v>
      </c>
      <c r="C1449" s="4">
        <v>1.0835545</v>
      </c>
      <c r="D1449" s="4">
        <v>-29.234615999999999</v>
      </c>
      <c r="E1449" s="4">
        <f>((-37.0723617/(10/9))+-10.5)+-0.4</f>
        <v>-44.265125529999999</v>
      </c>
      <c r="F1449" s="4">
        <f>((-0.66856271*(1.3/1.5))*0.6)-0.3</f>
        <v>-0.64765260920000001</v>
      </c>
    </row>
    <row r="1450" spans="1:6" x14ac:dyDescent="0.4">
      <c r="A1450" s="4">
        <v>1267.1913999999999</v>
      </c>
      <c r="B1450" s="4">
        <v>1.0541657</v>
      </c>
      <c r="C1450" s="4">
        <v>1.0835763</v>
      </c>
      <c r="D1450" s="4">
        <v>-29.234137999999998</v>
      </c>
      <c r="E1450" s="4">
        <f>((-37.075788/(10/9))+-10.5)+-0.4</f>
        <v>-44.268209200000001</v>
      </c>
      <c r="F1450" s="4">
        <f>((-0.66939837*(1.3/1.5))*0.6)-0.3</f>
        <v>-0.64808715240000003</v>
      </c>
    </row>
    <row r="1451" spans="1:6" x14ac:dyDescent="0.4">
      <c r="A1451" s="4">
        <v>1268.066325</v>
      </c>
      <c r="B1451" s="4">
        <v>1.0542476000000001</v>
      </c>
      <c r="C1451" s="4">
        <v>1.0835218</v>
      </c>
      <c r="D1451" s="4">
        <v>-29.233401000000001</v>
      </c>
      <c r="E1451" s="4">
        <f>((-36.9795375/(10/9))+-10.5)+-0.4</f>
        <v>-44.181583749999994</v>
      </c>
      <c r="F1451" s="4">
        <f>((-0.6700967*(1.3/1.5))*0.6)-0.3</f>
        <v>-0.64845028399999993</v>
      </c>
    </row>
    <row r="1452" spans="1:6" x14ac:dyDescent="0.4">
      <c r="A1452" s="4">
        <v>1268.9412500000001</v>
      </c>
      <c r="B1452" s="4">
        <v>1.0545614000000001</v>
      </c>
      <c r="C1452" s="4">
        <v>1.0837406999999999</v>
      </c>
      <c r="D1452" s="4">
        <v>-29.232682</v>
      </c>
      <c r="E1452" s="4">
        <f>((-37.0328319/(10/9))+-10.5)+-0.4</f>
        <v>-44.229548709999996</v>
      </c>
      <c r="F1452" s="4">
        <f>((-0.67084497*(1.3/1.5))*0.6)-0.3</f>
        <v>-0.6488393844</v>
      </c>
    </row>
    <row r="1453" spans="1:6" x14ac:dyDescent="0.4">
      <c r="A1453" s="4">
        <v>1269.8161750000002</v>
      </c>
      <c r="B1453" s="4">
        <v>1.054921</v>
      </c>
      <c r="C1453" s="4">
        <v>1.0841286000000001</v>
      </c>
      <c r="D1453" s="4">
        <v>-29.232607999999999</v>
      </c>
      <c r="E1453" s="4">
        <f>((-37.0368279/(10/9))+-10.5)+-0.4</f>
        <v>-44.233145109999995</v>
      </c>
      <c r="F1453" s="4">
        <f>((-0.67159307*(1.3/1.5))*0.6)-0.3</f>
        <v>-0.64922839640000007</v>
      </c>
    </row>
    <row r="1454" spans="1:6" x14ac:dyDescent="0.4">
      <c r="A1454" s="4">
        <v>1270.6911</v>
      </c>
      <c r="B1454" s="4">
        <v>1.0549303999999999</v>
      </c>
      <c r="C1454" s="4">
        <v>1.0842729</v>
      </c>
      <c r="D1454" s="4">
        <v>-29.231382</v>
      </c>
      <c r="E1454" s="4">
        <f>((-37.0308132/(10/9))+-10.5)+-0.4</f>
        <v>-44.227731879999993</v>
      </c>
      <c r="F1454" s="4">
        <f>((-0.6723488*(1.3/1.5))*0.6)-0.3</f>
        <v>-0.64962137600000003</v>
      </c>
    </row>
    <row r="1455" spans="1:6" x14ac:dyDescent="0.4">
      <c r="A1455" s="4">
        <v>1271.5660249999999</v>
      </c>
      <c r="B1455" s="4">
        <v>1.0549434</v>
      </c>
      <c r="C1455" s="4">
        <v>1.0843765999999999</v>
      </c>
      <c r="D1455" s="4">
        <v>-29.230499999999999</v>
      </c>
      <c r="E1455" s="4">
        <f>((-37.0179963/(10/9))+-10.5)+-0.4</f>
        <v>-44.216196669999995</v>
      </c>
      <c r="F1455" s="4">
        <f>((-0.67302924*(1.3/1.5))*0.6)-0.3</f>
        <v>-0.64997520480000004</v>
      </c>
    </row>
    <row r="1456" spans="1:6" x14ac:dyDescent="0.4">
      <c r="A1456" s="4">
        <v>1272.4409499999999</v>
      </c>
      <c r="B1456" s="4">
        <v>1.0550549</v>
      </c>
      <c r="C1456" s="4">
        <v>1.0842453000000001</v>
      </c>
      <c r="D1456" s="4">
        <v>-29.229727999999998</v>
      </c>
      <c r="E1456" s="4">
        <f>((-36.9942111/(10/9))+-10.5)+-0.4</f>
        <v>-44.194789989999997</v>
      </c>
      <c r="F1456" s="4">
        <f>((-0.67365634*(1.3/1.5))*0.6)-0.3</f>
        <v>-0.65030129679999993</v>
      </c>
    </row>
    <row r="1457" spans="1:6" x14ac:dyDescent="0.4">
      <c r="A1457" s="4">
        <v>1273.315875</v>
      </c>
      <c r="B1457" s="4">
        <v>1.0551166999999999</v>
      </c>
      <c r="C1457" s="4">
        <v>1.0845798</v>
      </c>
      <c r="D1457" s="4">
        <v>-29.228926999999999</v>
      </c>
      <c r="E1457" s="4">
        <f>((-37.0171314/(10/9))+-10.5)+-0.4</f>
        <v>-44.215418259999993</v>
      </c>
      <c r="F1457" s="4">
        <f>((-0.67423218*(1.3/1.5))*0.6)-0.3</f>
        <v>-0.65060073359999993</v>
      </c>
    </row>
    <row r="1458" spans="1:6" x14ac:dyDescent="0.4">
      <c r="A1458" s="4">
        <v>1274.1908000000001</v>
      </c>
      <c r="B1458" s="4">
        <v>1.0553646000000001</v>
      </c>
      <c r="C1458" s="4">
        <v>1.0848682000000001</v>
      </c>
      <c r="D1458" s="4">
        <v>-29.228407999999998</v>
      </c>
      <c r="E1458" s="4">
        <f>((-36.9755649/(10/9))+-10.5)+-0.4</f>
        <v>-44.178008409999997</v>
      </c>
      <c r="F1458" s="4">
        <f>((-0.67490202*(1.3/1.5))*0.6)-0.3</f>
        <v>-0.65094905039999995</v>
      </c>
    </row>
    <row r="1459" spans="1:6" x14ac:dyDescent="0.4">
      <c r="A1459" s="4">
        <v>1275.0657250000002</v>
      </c>
      <c r="B1459" s="4">
        <v>1.0555460000000001</v>
      </c>
      <c r="C1459" s="4">
        <v>1.0850831000000001</v>
      </c>
      <c r="D1459" s="4">
        <v>-29.227682999999999</v>
      </c>
      <c r="E1459" s="4">
        <f>((-36.993483/(10/9))+-10.5)+-0.4</f>
        <v>-44.194134699999992</v>
      </c>
      <c r="F1459" s="4">
        <f>((-0.67554897*(1.3/1.5))*0.6)-0.3</f>
        <v>-0.65128546440000001</v>
      </c>
    </row>
    <row r="1460" spans="1:6" x14ac:dyDescent="0.4">
      <c r="A1460" s="4">
        <v>1275.94065</v>
      </c>
      <c r="B1460" s="4">
        <v>1.0553926</v>
      </c>
      <c r="C1460" s="4">
        <v>1.0850881000000001</v>
      </c>
      <c r="D1460" s="4">
        <v>-29.226748999999998</v>
      </c>
      <c r="E1460" s="4">
        <f>((-36.9762246/(10/9))+-10.5)+-0.4</f>
        <v>-44.178602139999995</v>
      </c>
      <c r="F1460" s="4">
        <f>((-0.67621183*(1.3/1.5))*0.6)-0.3</f>
        <v>-0.65163015160000004</v>
      </c>
    </row>
    <row r="1461" spans="1:6" x14ac:dyDescent="0.4">
      <c r="A1461" s="4">
        <v>1276.8155749999999</v>
      </c>
      <c r="B1461" s="4">
        <v>1.0554806000000001</v>
      </c>
      <c r="C1461" s="4">
        <v>1.0851655</v>
      </c>
      <c r="D1461" s="4">
        <v>-29.225717</v>
      </c>
      <c r="E1461" s="4">
        <f>((-36.9244305/(10/9))+-10.5)+-0.4</f>
        <v>-44.131987449999997</v>
      </c>
      <c r="F1461" s="4">
        <f>((-0.67686296*(1.3/1.5))*0.6)-0.3</f>
        <v>-0.65196873919999998</v>
      </c>
    </row>
    <row r="1462" spans="1:6" x14ac:dyDescent="0.4">
      <c r="A1462" s="4">
        <v>1277.6904999999999</v>
      </c>
      <c r="B1462" s="4">
        <v>1.0555928999999999</v>
      </c>
      <c r="C1462" s="4">
        <v>1.0852796</v>
      </c>
      <c r="D1462" s="4">
        <v>-29.224955999999999</v>
      </c>
      <c r="E1462" s="4">
        <f>((-36.9557964/(10/9))+-10.5)+-0.4</f>
        <v>-44.160216759999997</v>
      </c>
      <c r="F1462" s="4">
        <f>((-0.67754614*(1.3/1.5))*0.6)-0.3</f>
        <v>-0.65232399279999997</v>
      </c>
    </row>
    <row r="1463" spans="1:6" x14ac:dyDescent="0.4">
      <c r="A1463" s="4">
        <v>1278.565425</v>
      </c>
      <c r="B1463" s="4">
        <v>1.0556028</v>
      </c>
      <c r="C1463" s="4">
        <v>1.085297</v>
      </c>
      <c r="D1463" s="4">
        <v>-29.224350999999999</v>
      </c>
      <c r="E1463" s="4">
        <f>((-37.0223433/(10/9))+-10.5)+-0.4</f>
        <v>-44.220108969999998</v>
      </c>
      <c r="F1463" s="4">
        <f>((-0.67821831*(1.3/1.5))*0.6)-0.3</f>
        <v>-0.6526735212</v>
      </c>
    </row>
    <row r="1464" spans="1:6" x14ac:dyDescent="0.4">
      <c r="A1464" s="4">
        <v>1279.4403500000001</v>
      </c>
      <c r="B1464" s="4">
        <v>1.0556840999999999</v>
      </c>
      <c r="C1464" s="4">
        <v>1.0853553</v>
      </c>
      <c r="D1464" s="4">
        <v>-29.223523</v>
      </c>
      <c r="E1464" s="4">
        <f>((-36.9133686/(10/9))+-10.5)+-0.4</f>
        <v>-44.122031739999997</v>
      </c>
      <c r="F1464" s="4">
        <f>((-0.67881602*(1.3/1.5))*0.6)-0.3</f>
        <v>-0.65298433040000003</v>
      </c>
    </row>
    <row r="1465" spans="1:6" x14ac:dyDescent="0.4">
      <c r="A1465" s="4">
        <v>1280.3152749999999</v>
      </c>
      <c r="B1465" s="4">
        <v>1.0560221999999999</v>
      </c>
      <c r="C1465" s="4">
        <v>1.0855702</v>
      </c>
      <c r="D1465" s="4">
        <v>-29.222431999999998</v>
      </c>
      <c r="E1465" s="4">
        <f>((-36.9402957/(10/9))+-10.5)+-0.4</f>
        <v>-44.146266129999994</v>
      </c>
      <c r="F1465" s="4">
        <f>((-0.67938292*(1.3/1.5))*0.6)-0.3</f>
        <v>-0.65327911839999997</v>
      </c>
    </row>
    <row r="1466" spans="1:6" x14ac:dyDescent="0.4">
      <c r="A1466" s="4">
        <v>1281.1902</v>
      </c>
      <c r="B1466" s="4">
        <v>1.0559381999999999</v>
      </c>
      <c r="C1466" s="4">
        <v>1.0859491999999999</v>
      </c>
      <c r="D1466" s="4">
        <v>-29.221544999999999</v>
      </c>
      <c r="E1466" s="4">
        <f>((-36.9390942/(10/9))+-10.5)+-0.4</f>
        <v>-44.145184779999994</v>
      </c>
      <c r="F1466" s="4">
        <f>((-0.67998451*(1.3/1.5))*0.6)-0.3</f>
        <v>-0.65359194520000008</v>
      </c>
    </row>
    <row r="1467" spans="1:6" x14ac:dyDescent="0.4">
      <c r="A1467" s="4">
        <v>1282.0651250000001</v>
      </c>
      <c r="B1467" s="4">
        <v>1.0561134000000001</v>
      </c>
      <c r="C1467" s="4">
        <v>1.0859179000000001</v>
      </c>
      <c r="D1467" s="4">
        <v>-29.220604999999999</v>
      </c>
      <c r="E1467" s="4">
        <f>((-36.9009783/(10/9))+-10.5)+-0.4</f>
        <v>-44.110880469999998</v>
      </c>
      <c r="F1467" s="4">
        <f>((-0.68057525*(1.3/1.5))*0.6)-0.3</f>
        <v>-0.65389913</v>
      </c>
    </row>
    <row r="1468" spans="1:6" x14ac:dyDescent="0.4">
      <c r="A1468" s="4">
        <v>1282.9400500000002</v>
      </c>
      <c r="B1468" s="4">
        <v>1.0561837999999999</v>
      </c>
      <c r="C1468" s="4">
        <v>1.0860955999999999</v>
      </c>
      <c r="D1468" s="4">
        <v>-29.219639999999998</v>
      </c>
      <c r="E1468" s="4">
        <f>((-36.9383283/(10/9))+-10.5)+-0.4</f>
        <v>-44.144495469999995</v>
      </c>
      <c r="F1468" s="4">
        <f>((-0.68117636*(1.3/1.5))*0.6)-0.3</f>
        <v>-0.65421170719999999</v>
      </c>
    </row>
    <row r="1469" spans="1:6" x14ac:dyDescent="0.4">
      <c r="A1469" s="4">
        <v>1283.814975</v>
      </c>
      <c r="B1469" s="4">
        <v>1.0564467</v>
      </c>
      <c r="C1469" s="4">
        <v>1.0861727999999999</v>
      </c>
      <c r="D1469" s="4">
        <v>-29.218547000000001</v>
      </c>
      <c r="E1469" s="4">
        <f>((-36.8902944/(10/9))+-10.5)+-0.4</f>
        <v>-44.101264960000002</v>
      </c>
      <c r="F1469" s="4">
        <f>((-0.68171394*(1.3/1.5))*0.6)-0.3</f>
        <v>-0.65449124879999998</v>
      </c>
    </row>
    <row r="1470" spans="1:6" x14ac:dyDescent="0.4">
      <c r="A1470" s="4">
        <v>1284.6898999999999</v>
      </c>
      <c r="B1470" s="4">
        <v>1.0564268999999999</v>
      </c>
      <c r="C1470" s="4">
        <v>1.0863088000000001</v>
      </c>
      <c r="D1470" s="4">
        <v>-29.217379999999999</v>
      </c>
      <c r="E1470" s="4">
        <f>((-36.8971812/(10/9))+-10.5)+-0.4</f>
        <v>-44.107463079999995</v>
      </c>
      <c r="F1470" s="4">
        <f>((-0.68214941*(1.3/1.5))*0.6)-0.3</f>
        <v>-0.65471769320000006</v>
      </c>
    </row>
    <row r="1471" spans="1:6" x14ac:dyDescent="0.4">
      <c r="A1471" s="4">
        <v>1285.5648249999999</v>
      </c>
      <c r="B1471" s="4">
        <v>1.0568123</v>
      </c>
      <c r="C1471" s="4">
        <v>1.0863749</v>
      </c>
      <c r="D1471" s="4">
        <v>-29.216355999999998</v>
      </c>
      <c r="E1471" s="4">
        <f>((-36.8648955/(10/9))+-10.5)+-0.4</f>
        <v>-44.078405949999997</v>
      </c>
      <c r="F1471" s="4">
        <f>((-0.68258637*(1.3/1.5))*0.6)-0.3</f>
        <v>-0.65494491239999997</v>
      </c>
    </row>
    <row r="1472" spans="1:6" x14ac:dyDescent="0.4">
      <c r="A1472" s="4">
        <v>1286.43975</v>
      </c>
      <c r="B1472" s="4">
        <v>1.0566519000000001</v>
      </c>
      <c r="C1472" s="4">
        <v>1.0865613999999999</v>
      </c>
      <c r="D1472" s="4">
        <v>-29.215129000000001</v>
      </c>
      <c r="E1472" s="4">
        <f>((-36.9569196/(10/9))+-10.5)+-0.4</f>
        <v>-44.161227639999993</v>
      </c>
      <c r="F1472" s="4">
        <f>((-0.68301058*(1.3/1.5))*0.6)-0.3</f>
        <v>-0.65516550159999998</v>
      </c>
    </row>
    <row r="1473" spans="1:6" x14ac:dyDescent="0.4">
      <c r="A1473" s="4">
        <v>1287.3146750000001</v>
      </c>
      <c r="B1473" s="4">
        <v>1.056627</v>
      </c>
      <c r="C1473" s="4">
        <v>1.0865085999999999</v>
      </c>
      <c r="D1473" s="4">
        <v>-29.213891</v>
      </c>
      <c r="E1473" s="4">
        <f>((-36.873207/(10/9))+-10.5)+-0.4</f>
        <v>-44.085886299999999</v>
      </c>
      <c r="F1473" s="4">
        <f>((-0.68343627*(1.3/1.5))*0.6)-0.3</f>
        <v>-0.65538686039999994</v>
      </c>
    </row>
    <row r="1474" spans="1:6" x14ac:dyDescent="0.4">
      <c r="A1474" s="4">
        <v>1288.1896000000002</v>
      </c>
      <c r="B1474" s="4">
        <v>1.0567925</v>
      </c>
      <c r="C1474" s="4">
        <v>1.0866956999999999</v>
      </c>
      <c r="D1474" s="4">
        <v>-29.212982999999998</v>
      </c>
      <c r="E1474" s="4">
        <f>((-36.8400627/(10/9))+-10.5)+-0.4</f>
        <v>-44.056056429999991</v>
      </c>
      <c r="F1474" s="4">
        <f>((-0.68375707*(1.3/1.5))*0.6)-0.3</f>
        <v>-0.65555367639999995</v>
      </c>
    </row>
    <row r="1475" spans="1:6" x14ac:dyDescent="0.4">
      <c r="A1475" s="4">
        <v>1289.064525</v>
      </c>
      <c r="B1475" s="4">
        <v>1.0569592999999999</v>
      </c>
      <c r="C1475" s="4">
        <v>1.0869812999999999</v>
      </c>
      <c r="D1475" s="4">
        <v>-29.2117</v>
      </c>
      <c r="E1475" s="4">
        <f>((-36.854685/(10/9))+-10.5)+-0.4</f>
        <v>-44.069216500000003</v>
      </c>
      <c r="F1475" s="4">
        <f>((-0.68409753*(1.3/1.5))*0.6)-0.3</f>
        <v>-0.65573071559999996</v>
      </c>
    </row>
    <row r="1476" spans="1:6" x14ac:dyDescent="0.4">
      <c r="A1476" s="4">
        <v>1289.9394499999999</v>
      </c>
      <c r="B1476" s="4">
        <v>1.0568960000000001</v>
      </c>
      <c r="C1476" s="4">
        <v>1.0871379000000001</v>
      </c>
      <c r="D1476" s="4">
        <v>-29.210463999999998</v>
      </c>
      <c r="E1476" s="4">
        <f>((-36.8783982/(10/9))+-10.5)+-0.4</f>
        <v>-44.090558379999997</v>
      </c>
      <c r="F1476" s="4">
        <f>((-0.68440676*(1.3/1.5))*0.6)-0.3</f>
        <v>-0.6558915152</v>
      </c>
    </row>
    <row r="1477" spans="1:6" x14ac:dyDescent="0.4">
      <c r="A1477" s="4">
        <v>1290.8143749999999</v>
      </c>
      <c r="B1477" s="4">
        <v>1.0571458</v>
      </c>
      <c r="C1477" s="4">
        <v>1.0872447000000001</v>
      </c>
      <c r="D1477" s="4">
        <v>-29.209098000000001</v>
      </c>
      <c r="E1477" s="4">
        <f>((-36.8782848/(10/9))+-10.5)+-0.4</f>
        <v>-44.090456320000001</v>
      </c>
      <c r="F1477" s="4">
        <f>((-0.68468142*(1.3/1.5))*0.6)-0.3</f>
        <v>-0.65603433840000003</v>
      </c>
    </row>
    <row r="1478" spans="1:6" x14ac:dyDescent="0.4">
      <c r="A1478" s="4">
        <v>1291.6893</v>
      </c>
      <c r="B1478" s="4">
        <v>1.0571032</v>
      </c>
      <c r="C1478" s="4">
        <v>1.0872358</v>
      </c>
      <c r="D1478" s="4">
        <v>-29.208205</v>
      </c>
      <c r="E1478" s="4">
        <f>((-36.8003781/(10/9))+-10.5)+-0.4</f>
        <v>-44.02034029</v>
      </c>
      <c r="F1478" s="4">
        <f>((-0.6850698*(1.3/1.5))*0.6)-0.3</f>
        <v>-0.656236296</v>
      </c>
    </row>
    <row r="1479" spans="1:6" x14ac:dyDescent="0.4">
      <c r="A1479" s="4">
        <v>1292.5642250000001</v>
      </c>
      <c r="B1479" s="4">
        <v>1.057307</v>
      </c>
      <c r="C1479" s="4">
        <v>1.0873535000000001</v>
      </c>
      <c r="D1479" s="4">
        <v>-29.207283999999998</v>
      </c>
      <c r="E1479" s="4">
        <f>((-36.8572662/(10/9))+-10.5)+-0.4</f>
        <v>-44.071539579999992</v>
      </c>
      <c r="F1479" s="4">
        <f>((-0.68543357*(1.3/1.5))*0.6)-0.3</f>
        <v>-0.65642545640000005</v>
      </c>
    </row>
    <row r="1480" spans="1:6" x14ac:dyDescent="0.4">
      <c r="A1480" s="4">
        <v>1293.4391499999999</v>
      </c>
      <c r="B1480" s="4">
        <v>1.0572045000000001</v>
      </c>
      <c r="C1480" s="4">
        <v>1.0873598</v>
      </c>
      <c r="D1480" s="4">
        <v>-29.206320999999999</v>
      </c>
      <c r="E1480" s="4">
        <f>((-36.8772408/(10/9))+-10.5)+-0.4</f>
        <v>-44.089516719999999</v>
      </c>
      <c r="F1480" s="4">
        <f>((-0.68572569*(1.3/1.5))*0.6)-0.3</f>
        <v>-0.65657735880000001</v>
      </c>
    </row>
    <row r="1481" spans="1:6" x14ac:dyDescent="0.4">
      <c r="A1481" s="4">
        <v>1294.314075</v>
      </c>
      <c r="B1481" s="4">
        <v>1.0575361000000001</v>
      </c>
      <c r="C1481" s="4">
        <v>1.0876039</v>
      </c>
      <c r="D1481" s="4">
        <v>-29.205387999999999</v>
      </c>
      <c r="E1481" s="4">
        <f>((-36.8801046/(10/9))+-10.5)+-0.4</f>
        <v>-44.09209414</v>
      </c>
      <c r="F1481" s="4">
        <f>((-0.68601638*(1.3/1.5))*0.6)-0.3</f>
        <v>-0.65672851759999995</v>
      </c>
    </row>
    <row r="1482" spans="1:6" x14ac:dyDescent="0.4">
      <c r="A1482" s="4">
        <v>1295.1890000000001</v>
      </c>
      <c r="B1482" s="4">
        <v>1.0575653</v>
      </c>
      <c r="C1482" s="4">
        <v>1.0875547000000001</v>
      </c>
      <c r="D1482" s="4">
        <v>-29.203944</v>
      </c>
      <c r="E1482" s="4">
        <f>((-36.8902458/(10/9))+-10.5)+-0.4</f>
        <v>-44.101221219999999</v>
      </c>
      <c r="F1482" s="4">
        <f>((-0.68628883*(1.3/1.5))*0.6)-0.3</f>
        <v>-0.65687019159999993</v>
      </c>
    </row>
    <row r="1483" spans="1:6" x14ac:dyDescent="0.4">
      <c r="A1483" s="4">
        <v>1296.0639250000002</v>
      </c>
      <c r="B1483" s="4">
        <v>1.0576441000000001</v>
      </c>
      <c r="C1483" s="4">
        <v>1.0879285000000001</v>
      </c>
      <c r="D1483" s="4">
        <v>-29.202831</v>
      </c>
      <c r="E1483" s="4">
        <f>((-36.873945/(10/9))+-10.5)+-0.4</f>
        <v>-44.086550499999994</v>
      </c>
      <c r="F1483" s="4">
        <f>((-0.68659991*(1.3/1.5))*0.6)-0.3</f>
        <v>-0.65703195319999996</v>
      </c>
    </row>
    <row r="1484" spans="1:6" x14ac:dyDescent="0.4">
      <c r="A1484" s="4">
        <v>1296.93885</v>
      </c>
      <c r="B1484" s="4">
        <v>1.0578122000000001</v>
      </c>
      <c r="C1484" s="4">
        <v>1.0880387</v>
      </c>
      <c r="D1484" s="4">
        <v>-29.201571999999999</v>
      </c>
      <c r="E1484" s="4">
        <f>((-36.7938855/(10/9))+-10.5)+-0.4</f>
        <v>-44.014496950000002</v>
      </c>
      <c r="F1484" s="4">
        <f>((-0.68688965*(1.3/1.5))*0.6)-0.3</f>
        <v>-0.657182618</v>
      </c>
    </row>
    <row r="1485" spans="1:6" x14ac:dyDescent="0.4">
      <c r="A1485" s="4">
        <v>1297.8137749999999</v>
      </c>
      <c r="B1485" s="4">
        <v>1.0578463</v>
      </c>
      <c r="C1485" s="4">
        <v>1.0879475999999999</v>
      </c>
      <c r="D1485" s="4">
        <v>-29.200548999999999</v>
      </c>
      <c r="E1485" s="4">
        <f>((-36.8430219/(10/9))+-10.5)+-0.4</f>
        <v>-44.058719709999991</v>
      </c>
      <c r="F1485" s="4">
        <f>((-0.68721908*(1.3/1.5))*0.6)-0.3</f>
        <v>-0.65735392159999995</v>
      </c>
    </row>
    <row r="1486" spans="1:6" x14ac:dyDescent="0.4">
      <c r="A1486" s="4">
        <v>1298.6886999999999</v>
      </c>
      <c r="B1486" s="4">
        <v>1.0579909999999999</v>
      </c>
      <c r="C1486" s="4">
        <v>1.0881103999999999</v>
      </c>
      <c r="D1486" s="4">
        <v>-29.199531</v>
      </c>
      <c r="E1486" s="4">
        <f>((-36.756783/(10/9))+-10.5)+-0.4</f>
        <v>-43.981104699999996</v>
      </c>
      <c r="F1486" s="4">
        <f>((-0.6874699*(1.3/1.5))*0.6)-0.3</f>
        <v>-0.65748434799999989</v>
      </c>
    </row>
    <row r="1487" spans="1:6" x14ac:dyDescent="0.4">
      <c r="A1487" s="4">
        <v>1299.563625</v>
      </c>
      <c r="B1487" s="4">
        <v>1.0580381000000001</v>
      </c>
      <c r="C1487" s="4">
        <v>1.0882018</v>
      </c>
      <c r="D1487" s="4">
        <v>-29.198087000000001</v>
      </c>
      <c r="E1487" s="4">
        <f>((-36.8121366/(10/9))+-10.5)+-0.4</f>
        <v>-44.030922939999996</v>
      </c>
      <c r="F1487" s="4">
        <f>((-0.68764979*(1.3/1.5))*0.6)-0.3</f>
        <v>-0.65757789080000006</v>
      </c>
    </row>
    <row r="1488" spans="1:6" x14ac:dyDescent="0.4">
      <c r="A1488" s="4">
        <v>1300.4385500000001</v>
      </c>
      <c r="B1488" s="4">
        <v>1.0581963000000001</v>
      </c>
      <c r="C1488" s="4">
        <v>1.088552</v>
      </c>
      <c r="D1488" s="4">
        <v>-29.196894999999998</v>
      </c>
      <c r="E1488" s="4">
        <f>((-36.832365/(10/9))+-10.5)+-0.4</f>
        <v>-44.049128500000002</v>
      </c>
      <c r="F1488" s="4">
        <f>((-0.68782651*(1.3/1.5))*0.6)-0.3</f>
        <v>-0.65766978519999997</v>
      </c>
    </row>
    <row r="1489" spans="1:6" x14ac:dyDescent="0.4">
      <c r="A1489" s="4">
        <v>1301.3134750000002</v>
      </c>
      <c r="B1489" s="4">
        <v>1.0583148</v>
      </c>
      <c r="C1489" s="4">
        <v>1.0887070999999999</v>
      </c>
      <c r="D1489" s="4">
        <v>-29.195367000000001</v>
      </c>
      <c r="E1489" s="4">
        <f>((-36.8032068/(10/9))+-10.5)+-0.4</f>
        <v>-44.022886119999995</v>
      </c>
      <c r="F1489" s="4">
        <f>((-0.68794602*(1.3/1.5))*0.6)-0.3</f>
        <v>-0.6577319304</v>
      </c>
    </row>
    <row r="1490" spans="1:6" x14ac:dyDescent="0.4">
      <c r="A1490" s="4">
        <v>1302.1884</v>
      </c>
      <c r="B1490" s="4">
        <v>1.0581643999999999</v>
      </c>
      <c r="C1490" s="4">
        <v>1.0889797999999999</v>
      </c>
      <c r="D1490" s="4">
        <v>-29.193913999999999</v>
      </c>
      <c r="E1490" s="4">
        <f>((-36.7808427/(10/9))+-10.5)+-0.4</f>
        <v>-44.00275843</v>
      </c>
      <c r="F1490" s="4">
        <f>((-0.68809557*(1.3/1.5))*0.6)-0.3</f>
        <v>-0.65780969639999998</v>
      </c>
    </row>
    <row r="1491" spans="1:6" x14ac:dyDescent="0.4">
      <c r="A1491" s="4">
        <v>1303.0633249999998</v>
      </c>
      <c r="B1491" s="4">
        <v>1.0583327</v>
      </c>
      <c r="C1491" s="4">
        <v>1.0888351999999999</v>
      </c>
      <c r="D1491" s="4">
        <v>-29.192550000000001</v>
      </c>
      <c r="E1491" s="4">
        <f>((-36.775755/(10/9))+-10.5)+-0.4</f>
        <v>-43.998179499999992</v>
      </c>
      <c r="F1491" s="4">
        <f>((-0.68834895*(1.3/1.5))*0.6)-0.3</f>
        <v>-0.65794145399999993</v>
      </c>
    </row>
    <row r="1492" spans="1:6" x14ac:dyDescent="0.4">
      <c r="A1492" s="4">
        <v>1303.9382499999999</v>
      </c>
      <c r="B1492" s="4">
        <v>1.0585743999999999</v>
      </c>
      <c r="C1492" s="4">
        <v>1.0889926000000001</v>
      </c>
      <c r="D1492" s="4">
        <v>-29.191634000000001</v>
      </c>
      <c r="E1492" s="4">
        <f>((-36.7892883/(10/9))+-10.5)+-0.4</f>
        <v>-44.010359469999997</v>
      </c>
      <c r="F1492" s="4">
        <f>((-0.68862224*(1.3/1.5))*0.6)-0.3</f>
        <v>-0.65808356480000008</v>
      </c>
    </row>
    <row r="1493" spans="1:6" x14ac:dyDescent="0.4">
      <c r="A1493" s="4">
        <v>1304.813175</v>
      </c>
      <c r="B1493" s="4">
        <v>1.0586960000000001</v>
      </c>
      <c r="C1493" s="4">
        <v>1.0891630999999999</v>
      </c>
      <c r="D1493" s="4">
        <v>-29.190044</v>
      </c>
      <c r="E1493" s="4">
        <f>((-36.7587603/(10/9))+-10.5)+-0.4</f>
        <v>-43.982884269999992</v>
      </c>
      <c r="F1493" s="4">
        <f>((-0.68884361*(1.3/1.5))*0.6)-0.3</f>
        <v>-0.65819867720000003</v>
      </c>
    </row>
    <row r="1494" spans="1:6" x14ac:dyDescent="0.4">
      <c r="A1494" s="4">
        <v>1305.6881000000001</v>
      </c>
      <c r="B1494" s="4">
        <v>1.0587964000000001</v>
      </c>
      <c r="C1494" s="4">
        <v>1.0893569999999999</v>
      </c>
      <c r="D1494" s="4">
        <v>-29.188907</v>
      </c>
      <c r="E1494" s="4">
        <f>((-36.8104824/(10/9))+-10.5)+-0.4</f>
        <v>-44.029434159999994</v>
      </c>
      <c r="F1494" s="4">
        <f>((-0.68900609*(1.3/1.5))*0.6)-0.3</f>
        <v>-0.65828316679999999</v>
      </c>
    </row>
    <row r="1495" spans="1:6" x14ac:dyDescent="0.4">
      <c r="A1495" s="4">
        <v>1306.5630249999999</v>
      </c>
      <c r="B1495" s="4">
        <v>1.0589436999999999</v>
      </c>
      <c r="C1495" s="4">
        <v>1.0894893000000001</v>
      </c>
      <c r="D1495" s="4">
        <v>-29.187873</v>
      </c>
      <c r="E1495" s="4">
        <f>((-36.7914069/(10/9))+-10.5)+-0.4</f>
        <v>-44.012266209999993</v>
      </c>
      <c r="F1495" s="4">
        <f>((-0.6892612*(1.3/1.5))*0.6)-0.3</f>
        <v>-0.65841582399999998</v>
      </c>
    </row>
    <row r="1496" spans="1:6" x14ac:dyDescent="0.4">
      <c r="A1496" s="4">
        <v>1307.43795</v>
      </c>
      <c r="B1496" s="4">
        <v>1.0588959</v>
      </c>
      <c r="C1496" s="4">
        <v>1.0896189000000001</v>
      </c>
      <c r="D1496" s="4">
        <v>-29.186584</v>
      </c>
      <c r="E1496" s="4">
        <f>((-36.7924545/(10/9))+-10.5)+-0.4</f>
        <v>-44.013209049999993</v>
      </c>
      <c r="F1496" s="4">
        <f>((-0.68948764*(1.3/1.5))*0.6)-0.3</f>
        <v>-0.65853357279999991</v>
      </c>
    </row>
    <row r="1497" spans="1:6" x14ac:dyDescent="0.4">
      <c r="A1497" s="4">
        <v>1308.3128750000001</v>
      </c>
      <c r="B1497" s="4">
        <v>1.0588595999999999</v>
      </c>
      <c r="C1497" s="4">
        <v>1.0897019999999999</v>
      </c>
      <c r="D1497" s="4">
        <v>-29.185458000000001</v>
      </c>
      <c r="E1497" s="4">
        <f>((-36.7903701/(10/9))+-10.5)+-0.4</f>
        <v>-44.011333089999994</v>
      </c>
      <c r="F1497" s="4">
        <f>((-0.68975687*(1.3/1.5))*0.6)-0.3</f>
        <v>-0.65867357240000002</v>
      </c>
    </row>
    <row r="1498" spans="1:6" x14ac:dyDescent="0.4">
      <c r="A1498" s="4">
        <v>1309.1878000000002</v>
      </c>
      <c r="B1498" s="4">
        <v>1.0593439</v>
      </c>
      <c r="C1498" s="4">
        <v>1.0898497</v>
      </c>
      <c r="D1498" s="4">
        <v>-29.184508999999998</v>
      </c>
      <c r="E1498" s="4">
        <f>((-36.7458066/(10/9))+-10.5)+-0.4</f>
        <v>-43.971225939999997</v>
      </c>
      <c r="F1498" s="4">
        <f>((-0.68996507*(1.3/1.5))*0.6)-0.3</f>
        <v>-0.65878183639999999</v>
      </c>
    </row>
    <row r="1499" spans="1:6" x14ac:dyDescent="0.4">
      <c r="A1499" s="4">
        <v>1310.062725</v>
      </c>
      <c r="B1499" s="4">
        <v>1.0592897999999999</v>
      </c>
      <c r="C1499" s="4">
        <v>1.0900517999999999</v>
      </c>
      <c r="D1499" s="4">
        <v>-29.183463</v>
      </c>
      <c r="E1499" s="4">
        <f>((-36.6906384/(10/9))+-10.5)+-0.4</f>
        <v>-43.921574559999996</v>
      </c>
      <c r="F1499" s="4">
        <f>((-0.69005007*(1.3/1.5))*0.6)-0.3</f>
        <v>-0.65882603639999993</v>
      </c>
    </row>
    <row r="1500" spans="1:6" x14ac:dyDescent="0.4">
      <c r="A1500" s="4">
        <v>1310.9376499999998</v>
      </c>
      <c r="B1500" s="4">
        <v>1.059312</v>
      </c>
      <c r="C1500" s="4">
        <v>1.0901765999999999</v>
      </c>
      <c r="D1500" s="4">
        <v>-29.182368</v>
      </c>
      <c r="E1500" s="4">
        <f>((-36.7192611/(10/9))+-10.5)+-0.4</f>
        <v>-43.947334989999995</v>
      </c>
      <c r="F1500" s="4">
        <f>((-0.69013286*(1.3/1.5))*0.6)-0.3</f>
        <v>-0.65886908720000004</v>
      </c>
    </row>
    <row r="1501" spans="1:6" x14ac:dyDescent="0.4">
      <c r="A1501" s="4">
        <v>1311.8125749999999</v>
      </c>
      <c r="B1501" s="4">
        <v>1.0595589000000001</v>
      </c>
      <c r="C1501" s="4">
        <v>1.0901335000000001</v>
      </c>
      <c r="D1501" s="4">
        <v>-29.181335000000001</v>
      </c>
      <c r="E1501" s="4">
        <f>((-36.7076331/(10/9))+-10.5)+-0.4</f>
        <v>-43.936869789999996</v>
      </c>
      <c r="F1501" s="4">
        <f>((-0.69026405*(1.3/1.5))*0.6)-0.3</f>
        <v>-0.658937306</v>
      </c>
    </row>
    <row r="1502" spans="1:6" x14ac:dyDescent="0.4">
      <c r="A1502" s="4">
        <v>1312.6875</v>
      </c>
      <c r="B1502" s="4">
        <v>1.0598505</v>
      </c>
      <c r="C1502" s="4">
        <v>1.0904990000000001</v>
      </c>
      <c r="D1502" s="4">
        <v>-29.180174999999998</v>
      </c>
      <c r="E1502" s="4">
        <f>((-36.748368/(10/9))+-10.5)+-0.4</f>
        <v>-43.973531199999996</v>
      </c>
      <c r="F1502" s="4">
        <f>((-0.69045395*(1.3/1.5))*0.6)-0.3</f>
        <v>-0.65903605399999998</v>
      </c>
    </row>
    <row r="1503" spans="1:6" x14ac:dyDescent="0.4">
      <c r="A1503" s="4">
        <v>1313.5624250000001</v>
      </c>
      <c r="B1503" s="4">
        <v>1.0598987</v>
      </c>
      <c r="C1503" s="4">
        <v>1.0905925999999999</v>
      </c>
      <c r="D1503" s="4">
        <v>-29.178850999999998</v>
      </c>
      <c r="E1503" s="4">
        <f>((-36.7398189/(10/9))+-10.5)+-0.4</f>
        <v>-43.965837010000001</v>
      </c>
      <c r="F1503" s="4">
        <f>((-0.69060773*(1.3/1.5))*0.6)-0.3</f>
        <v>-0.65911601959999999</v>
      </c>
    </row>
    <row r="1504" spans="1:6" x14ac:dyDescent="0.4">
      <c r="A1504" s="4">
        <v>1314.4373500000002</v>
      </c>
      <c r="B1504" s="4">
        <v>1.0601512</v>
      </c>
      <c r="C1504" s="4">
        <v>1.0908500999999999</v>
      </c>
      <c r="D1504" s="4">
        <v>-29.177903000000001</v>
      </c>
      <c r="E1504" s="4">
        <f>((-36.7199199/(10/9))+-10.5)+-0.4</f>
        <v>-43.947927909999997</v>
      </c>
      <c r="F1504" s="4">
        <f>((-0.69069153*(1.3/1.5))*0.6)-0.3</f>
        <v>-0.65915959560000004</v>
      </c>
    </row>
    <row r="1505" spans="1:6" x14ac:dyDescent="0.4">
      <c r="A1505" s="4">
        <v>1315.312275</v>
      </c>
      <c r="B1505" s="4">
        <v>1.0601326</v>
      </c>
      <c r="C1505" s="4">
        <v>1.0909024</v>
      </c>
      <c r="D1505" s="4">
        <v>-29.176486000000001</v>
      </c>
      <c r="E1505" s="4">
        <f>((-36.7259868/(10/9))+-10.5)+-0.4</f>
        <v>-43.95338812</v>
      </c>
      <c r="F1505" s="4">
        <f>((-0.69077283*(1.3/1.5))*0.6)-0.3</f>
        <v>-0.65920187159999999</v>
      </c>
    </row>
    <row r="1506" spans="1:6" x14ac:dyDescent="0.4">
      <c r="A1506" s="4">
        <v>1316.1871999999998</v>
      </c>
      <c r="B1506" s="4">
        <v>1.0600727999999999</v>
      </c>
      <c r="C1506" s="4">
        <v>1.0907690999999999</v>
      </c>
      <c r="D1506" s="4">
        <v>-29.175622000000001</v>
      </c>
      <c r="E1506" s="4">
        <f>((-36.6834078/(10/9))+-10.5)+-0.4</f>
        <v>-43.915067019999995</v>
      </c>
      <c r="F1506" s="4">
        <f>((-0.69084024*(1.3/1.5))*0.6)-0.3</f>
        <v>-0.65923692480000007</v>
      </c>
    </row>
    <row r="1507" spans="1:6" x14ac:dyDescent="0.4">
      <c r="A1507" s="4">
        <v>1317.0621249999999</v>
      </c>
      <c r="B1507" s="4">
        <v>1.0602669</v>
      </c>
      <c r="C1507" s="4">
        <v>1.0910770999999999</v>
      </c>
      <c r="D1507" s="4">
        <v>-29.174427999999999</v>
      </c>
      <c r="E1507" s="4">
        <f>((-36.5978448/(10/9))+-10.5)+-0.4</f>
        <v>-43.838060319999997</v>
      </c>
      <c r="F1507" s="4">
        <f>((-0.69094825*(1.3/1.5))*0.6)-0.3</f>
        <v>-0.65929309000000003</v>
      </c>
    </row>
    <row r="1508" spans="1:6" x14ac:dyDescent="0.4">
      <c r="A1508" s="4">
        <v>1317.93705</v>
      </c>
      <c r="B1508" s="4">
        <v>1.0603271999999999</v>
      </c>
      <c r="C1508" s="4">
        <v>1.0911478999999999</v>
      </c>
      <c r="D1508" s="4">
        <v>-29.173452000000001</v>
      </c>
      <c r="E1508" s="4">
        <f>((-36.6754329/(10/9))+-10.5)+-0.4</f>
        <v>-43.907889609999991</v>
      </c>
      <c r="F1508" s="4">
        <f>((-0.69103324*(1.3/1.5))*0.6)-0.3</f>
        <v>-0.65933728479999998</v>
      </c>
    </row>
    <row r="1509" spans="1:6" x14ac:dyDescent="0.4">
      <c r="A1509" s="4">
        <v>1318.8119750000001</v>
      </c>
      <c r="B1509" s="4">
        <v>1.0604734</v>
      </c>
      <c r="C1509" s="4">
        <v>1.0913724</v>
      </c>
      <c r="D1509" s="4">
        <v>-29.172333999999999</v>
      </c>
      <c r="E1509" s="4">
        <f>((-36.6190074/(10/9))+-10.5)+-0.4</f>
        <v>-43.857106659999999</v>
      </c>
      <c r="F1509" s="4">
        <f>((-0.69117618*(1.3/1.5))*0.6)-0.3</f>
        <v>-0.6594116136</v>
      </c>
    </row>
    <row r="1510" spans="1:6" x14ac:dyDescent="0.4">
      <c r="A1510" s="4">
        <v>1319.6868999999999</v>
      </c>
      <c r="B1510" s="4">
        <v>1.0605020999999999</v>
      </c>
      <c r="C1510" s="4">
        <v>1.0915098000000001</v>
      </c>
      <c r="D1510" s="4">
        <v>-29.171780999999999</v>
      </c>
      <c r="E1510" s="4">
        <f>((-36.6867486/(10/9))+-10.5)+-0.4</f>
        <v>-43.918073739999997</v>
      </c>
      <c r="F1510" s="4">
        <f>((-0.69139856*(1.3/1.5))*0.6)-0.3</f>
        <v>-0.6595272512</v>
      </c>
    </row>
    <row r="1511" spans="1:6" x14ac:dyDescent="0.4">
      <c r="A1511" s="4">
        <v>1320.561825</v>
      </c>
      <c r="B1511" s="4">
        <v>1.0605530999999999</v>
      </c>
      <c r="C1511" s="4">
        <v>1.0916376000000001</v>
      </c>
      <c r="D1511" s="4">
        <v>-29.170874999999999</v>
      </c>
      <c r="E1511" s="4">
        <f>((-36.7031007/(10/9))+-10.5)+-0.4</f>
        <v>-43.93279063</v>
      </c>
      <c r="F1511" s="4">
        <f>((-0.69165641*(1.3/1.5))*0.6)-0.3</f>
        <v>-0.65966133319999998</v>
      </c>
    </row>
    <row r="1512" spans="1:6" x14ac:dyDescent="0.4">
      <c r="A1512" s="4">
        <v>1321.4367500000001</v>
      </c>
      <c r="B1512" s="4">
        <v>1.0608907999999999</v>
      </c>
      <c r="C1512" s="4">
        <v>1.0918977999999999</v>
      </c>
      <c r="D1512" s="4">
        <v>-29.170294999999999</v>
      </c>
      <c r="E1512" s="4">
        <f>((-36.6762321/(10/9))+-10.5)+-0.4</f>
        <v>-43.908608889999996</v>
      </c>
      <c r="F1512" s="4">
        <f>((-0.69186366*(1.3/1.5))*0.6)-0.3</f>
        <v>-0.65976910319999993</v>
      </c>
    </row>
    <row r="1513" spans="1:6" x14ac:dyDescent="0.4">
      <c r="A1513" s="4">
        <v>1322.3116750000002</v>
      </c>
      <c r="B1513" s="4">
        <v>1.0608078999999999</v>
      </c>
      <c r="C1513" s="4">
        <v>1.0920109</v>
      </c>
      <c r="D1513" s="4">
        <v>-29.169418</v>
      </c>
      <c r="E1513" s="4">
        <f>((-36.6412752/(10/9))+-10.5)+-0.4</f>
        <v>-43.87714768</v>
      </c>
      <c r="F1513" s="4">
        <f>((-0.69208807*(1.3/1.5))*0.6)-0.3</f>
        <v>-0.6598857964</v>
      </c>
    </row>
    <row r="1514" spans="1:6" x14ac:dyDescent="0.4">
      <c r="A1514" s="4">
        <v>1323.1866</v>
      </c>
      <c r="B1514" s="4">
        <v>1.0612360999999999</v>
      </c>
      <c r="C1514" s="4">
        <v>1.092279</v>
      </c>
      <c r="D1514" s="4">
        <v>-29.168357</v>
      </c>
      <c r="E1514" s="4">
        <f>((-36.6463359/(10/9))+-10.5)+-0.4</f>
        <v>-43.881702309999994</v>
      </c>
      <c r="F1514" s="4">
        <f>((-0.6923731*(1.3/1.5))*0.6)-0.3</f>
        <v>-0.660034012</v>
      </c>
    </row>
    <row r="1515" spans="1:6" x14ac:dyDescent="0.4">
      <c r="A1515" s="4">
        <v>1324.0615249999998</v>
      </c>
      <c r="B1515" s="4">
        <v>1.0612537</v>
      </c>
      <c r="C1515" s="4">
        <v>1.0923541999999999</v>
      </c>
      <c r="D1515" s="4">
        <v>-29.167816999999999</v>
      </c>
      <c r="E1515" s="4">
        <f>((-36.5947308/(10/9))+-10.5)+-0.4</f>
        <v>-43.835257719999994</v>
      </c>
      <c r="F1515" s="4">
        <f>((-0.69260794*(1.3/1.5))*0.6)-0.3</f>
        <v>-0.66015612879999996</v>
      </c>
    </row>
    <row r="1516" spans="1:6" x14ac:dyDescent="0.4">
      <c r="A1516" s="4">
        <v>1324.9364499999999</v>
      </c>
      <c r="B1516" s="4">
        <v>1.0611885000000001</v>
      </c>
      <c r="C1516" s="4">
        <v>1.0925635</v>
      </c>
      <c r="D1516" s="4">
        <v>-29.166992999999998</v>
      </c>
      <c r="E1516" s="4">
        <f>((-36.6919056/(10/9))+-10.5)+-0.4</f>
        <v>-43.922715039999993</v>
      </c>
      <c r="F1516" s="4">
        <f>((-0.69287354*(1.3/1.5))*0.6)-0.3</f>
        <v>-0.66029424079999999</v>
      </c>
    </row>
    <row r="1517" spans="1:6" x14ac:dyDescent="0.4">
      <c r="A1517" s="4">
        <v>1325.811375</v>
      </c>
      <c r="B1517" s="4">
        <v>1.0613016</v>
      </c>
      <c r="C1517" s="4">
        <v>1.0927222999999999</v>
      </c>
      <c r="D1517" s="4">
        <v>-29.166336999999999</v>
      </c>
      <c r="E1517" s="4">
        <f>((-36.6597873/(10/9))+-10.5)+-0.4</f>
        <v>-43.893808569999997</v>
      </c>
      <c r="F1517" s="4">
        <f>((-0.69322008*(1.3/1.5))*0.6)-0.3</f>
        <v>-0.66047444159999991</v>
      </c>
    </row>
    <row r="1518" spans="1:6" x14ac:dyDescent="0.4">
      <c r="A1518" s="4">
        <v>1326.6863000000001</v>
      </c>
      <c r="B1518" s="4">
        <v>1.0614269999999999</v>
      </c>
      <c r="C1518" s="4">
        <v>1.0927221</v>
      </c>
      <c r="D1518" s="4">
        <v>-29.165676999999999</v>
      </c>
      <c r="E1518" s="4">
        <f>((-36.6586443/(10/9))+-10.5)+-0.4</f>
        <v>-43.892779869999998</v>
      </c>
      <c r="F1518" s="4">
        <f>((-0.6935159*(1.3/1.5))*0.6)-0.3</f>
        <v>-0.66062826799999996</v>
      </c>
    </row>
    <row r="1519" spans="1:6" x14ac:dyDescent="0.4">
      <c r="A1519" s="4">
        <v>1327.5612250000001</v>
      </c>
      <c r="B1519" s="4">
        <v>1.061483</v>
      </c>
      <c r="C1519" s="4">
        <v>1.0928085999999999</v>
      </c>
      <c r="D1519" s="4">
        <v>-29.165132</v>
      </c>
      <c r="E1519" s="4">
        <f>((-36.6188706/(10/9))+-10.5)+-0.4</f>
        <v>-43.856983539999995</v>
      </c>
      <c r="F1519" s="4">
        <f>((-0.69376802*(1.3/1.5))*0.6)-0.3</f>
        <v>-0.66075937039999999</v>
      </c>
    </row>
    <row r="1520" spans="1:6" x14ac:dyDescent="0.4">
      <c r="A1520" s="4">
        <v>1328.43615</v>
      </c>
      <c r="B1520" s="4">
        <v>1.0617409</v>
      </c>
      <c r="C1520" s="4">
        <v>1.0930876</v>
      </c>
      <c r="D1520" s="4">
        <v>-29.164617</v>
      </c>
      <c r="E1520" s="4">
        <f>((-36.6038568/(10/9))+-10.5)+-0.4</f>
        <v>-43.843471119999997</v>
      </c>
      <c r="F1520" s="4">
        <f>((-0.694058*(1.3/1.5))*0.6)-0.3</f>
        <v>-0.66091016000000002</v>
      </c>
    </row>
    <row r="1521" spans="1:6" x14ac:dyDescent="0.4">
      <c r="A1521" s="4">
        <v>1329.3110749999998</v>
      </c>
      <c r="B1521" s="4">
        <v>1.0620328000000001</v>
      </c>
      <c r="C1521" s="4">
        <v>1.0934187</v>
      </c>
      <c r="D1521" s="4">
        <v>-29.164110999999998</v>
      </c>
      <c r="E1521" s="4">
        <f>((-36.6551145/(10/9))+-10.5)+-0.4</f>
        <v>-43.889603049999998</v>
      </c>
      <c r="F1521" s="4">
        <f>((-0.69443733*(1.3/1.5))*0.6)-0.3</f>
        <v>-0.66110741159999997</v>
      </c>
    </row>
    <row r="1522" spans="1:6" x14ac:dyDescent="0.4">
      <c r="A1522" s="4">
        <v>1330.1859999999999</v>
      </c>
      <c r="B1522" s="4">
        <v>1.0620594999999999</v>
      </c>
      <c r="C1522" s="4">
        <v>1.0933763999999999</v>
      </c>
      <c r="D1522" s="4">
        <v>-29.163739</v>
      </c>
      <c r="E1522" s="4">
        <f>((-36.6398784/(10/9))+-10.5)+-0.4</f>
        <v>-43.875890559999995</v>
      </c>
      <c r="F1522" s="4">
        <f>((-0.69476479*(1.3/1.5))*0.6)-0.3</f>
        <v>-0.66127769079999998</v>
      </c>
    </row>
    <row r="1523" spans="1:6" x14ac:dyDescent="0.4">
      <c r="A1523" s="4">
        <v>1331.060925</v>
      </c>
      <c r="B1523" s="4">
        <v>1.0621408999999999</v>
      </c>
      <c r="C1523" s="4">
        <v>1.0936215</v>
      </c>
      <c r="D1523" s="4">
        <v>-29.163253000000001</v>
      </c>
      <c r="E1523" s="4">
        <f>((-36.6067575/(10/9))+-10.5)+-0.4</f>
        <v>-43.846081749999996</v>
      </c>
      <c r="F1523" s="4">
        <f>((-0.69508177*(1.3/1.5))*0.6)-0.3</f>
        <v>-0.66144252040000007</v>
      </c>
    </row>
    <row r="1524" spans="1:6" x14ac:dyDescent="0.4">
      <c r="A1524" s="4">
        <v>1331.9358500000001</v>
      </c>
      <c r="B1524" s="4">
        <v>1.0621415000000001</v>
      </c>
      <c r="C1524" s="4">
        <v>1.0938460000000001</v>
      </c>
      <c r="D1524" s="4">
        <v>-29.162817999999998</v>
      </c>
      <c r="E1524" s="4">
        <f>((-36.6108021/(10/9))+-10.5)+-0.4</f>
        <v>-43.849721889999998</v>
      </c>
      <c r="F1524" s="4">
        <f>((-0.69538605*(1.3/1.5))*0.6)-0.3</f>
        <v>-0.66160074599999996</v>
      </c>
    </row>
    <row r="1525" spans="1:6" x14ac:dyDescent="0.4">
      <c r="A1525" s="4">
        <v>1332.8107749999999</v>
      </c>
      <c r="B1525" s="4">
        <v>1.0622478</v>
      </c>
      <c r="C1525" s="4">
        <v>1.0937855000000001</v>
      </c>
      <c r="D1525" s="4">
        <v>-29.162433</v>
      </c>
      <c r="E1525" s="4">
        <f>((-36.5694183/(10/9))+-10.5)+-0.4</f>
        <v>-43.81247647</v>
      </c>
      <c r="F1525" s="4">
        <f>((-0.69570792*(1.3/1.5))*0.6)-0.3</f>
        <v>-0.66176811840000005</v>
      </c>
    </row>
    <row r="1526" spans="1:6" x14ac:dyDescent="0.4">
      <c r="A1526" s="4">
        <v>1333.6857</v>
      </c>
      <c r="B1526" s="4">
        <v>1.0624701999999999</v>
      </c>
      <c r="C1526" s="4">
        <v>1.0939684999999999</v>
      </c>
      <c r="D1526" s="4">
        <v>-29.161472</v>
      </c>
      <c r="E1526" s="4">
        <f>((-36.6398541/(10/9))+-10.5)+-0.4</f>
        <v>-43.875868689999997</v>
      </c>
      <c r="F1526" s="4">
        <f>((-0.69597912*(1.3/1.5))*0.6)-0.3</f>
        <v>-0.66190914239999987</v>
      </c>
    </row>
    <row r="1527" spans="1:6" x14ac:dyDescent="0.4">
      <c r="A1527" s="4">
        <v>1334.5606250000001</v>
      </c>
      <c r="B1527" s="4">
        <v>1.0625685</v>
      </c>
      <c r="C1527" s="4">
        <v>1.0941721</v>
      </c>
      <c r="D1527" s="4">
        <v>-29.160954999999998</v>
      </c>
      <c r="E1527" s="4">
        <f>((-36.5658444/(10/9))+-10.5)+-0.4</f>
        <v>-43.809259959999999</v>
      </c>
      <c r="F1527" s="4">
        <f>((-0.69618732*(1.3/1.5))*0.6)-0.3</f>
        <v>-0.66201740640000006</v>
      </c>
    </row>
    <row r="1528" spans="1:6" x14ac:dyDescent="0.4">
      <c r="A1528" s="4">
        <v>1335.4355500000001</v>
      </c>
      <c r="B1528" s="4">
        <v>1.0627040999999999</v>
      </c>
      <c r="C1528" s="4">
        <v>1.094395</v>
      </c>
      <c r="D1528" s="4">
        <v>-29.160367000000001</v>
      </c>
      <c r="E1528" s="4">
        <f>((-36.5712957/(10/9))+-10.5)+-0.4</f>
        <v>-43.814166129999997</v>
      </c>
      <c r="F1528" s="4">
        <f>((-0.6964736*(1.3/1.5))*0.6)-0.3</f>
        <v>-0.662166272</v>
      </c>
    </row>
    <row r="1529" spans="1:6" x14ac:dyDescent="0.4">
      <c r="A1529" s="4">
        <v>1336.310475</v>
      </c>
      <c r="B1529" s="4">
        <v>1.0628681</v>
      </c>
      <c r="C1529" s="4">
        <v>1.0945895000000001</v>
      </c>
      <c r="D1529" s="4">
        <v>-29.159962999999998</v>
      </c>
      <c r="E1529" s="4">
        <f>((-36.5288643/(10/9))+-10.5)+-0.4</f>
        <v>-43.775977869999998</v>
      </c>
      <c r="F1529" s="4">
        <f>((-0.69681609*(1.3/1.5))*0.6)-0.3</f>
        <v>-0.66234436679999997</v>
      </c>
    </row>
    <row r="1530" spans="1:6" x14ac:dyDescent="0.4">
      <c r="A1530" s="4">
        <v>1337.1853999999998</v>
      </c>
      <c r="B1530" s="4">
        <v>1.0629963</v>
      </c>
      <c r="C1530" s="4">
        <v>1.0948732000000001</v>
      </c>
      <c r="D1530" s="4">
        <v>-29.159579000000001</v>
      </c>
      <c r="E1530" s="4">
        <f>((-36.5452173/(10/9))+-10.5)+-0.4</f>
        <v>-43.790695569999997</v>
      </c>
      <c r="F1530" s="4">
        <f>((-0.69721085*(1.3/1.5))*0.6)-0.3</f>
        <v>-0.66254964200000011</v>
      </c>
    </row>
    <row r="1531" spans="1:6" x14ac:dyDescent="0.4">
      <c r="A1531" s="4">
        <v>1338.0603249999999</v>
      </c>
      <c r="B1531" s="4">
        <v>1.0630246000000001</v>
      </c>
      <c r="C1531" s="4">
        <v>1.0947946</v>
      </c>
      <c r="D1531" s="4">
        <v>-29.159295</v>
      </c>
      <c r="E1531" s="4">
        <f>((-36.5159457/(10/9))+-10.5)+-0.4</f>
        <v>-43.764351130000001</v>
      </c>
      <c r="F1531" s="4">
        <f>((-0.69751781*(1.3/1.5))*0.6)-0.3</f>
        <v>-0.66270926120000007</v>
      </c>
    </row>
    <row r="1532" spans="1:6" x14ac:dyDescent="0.4">
      <c r="A1532" s="4">
        <v>1338.93525</v>
      </c>
      <c r="B1532" s="4">
        <v>1.0629244</v>
      </c>
      <c r="C1532" s="4">
        <v>1.0948792000000001</v>
      </c>
      <c r="D1532" s="4">
        <v>-29.158844999999999</v>
      </c>
      <c r="E1532" s="4">
        <f>((-36.5641272/(10/9))+-10.5)+-0.4</f>
        <v>-43.807714480000001</v>
      </c>
      <c r="F1532" s="4">
        <f>((-0.69786441*(1.3/1.5))*0.6)-0.3</f>
        <v>-0.66288949320000001</v>
      </c>
    </row>
    <row r="1533" spans="1:6" x14ac:dyDescent="0.4">
      <c r="A1533" s="4">
        <v>1339.8101750000001</v>
      </c>
      <c r="B1533" s="4">
        <v>1.0631888</v>
      </c>
      <c r="C1533" s="4">
        <v>1.0951009</v>
      </c>
      <c r="D1533" s="4">
        <v>-29.158470999999999</v>
      </c>
      <c r="E1533" s="4">
        <f>((-36.5435001/(10/9))+-10.5)+-0.4</f>
        <v>-43.78915009</v>
      </c>
      <c r="F1533" s="4">
        <f>((-0.69828099*(1.3/1.5))*0.6)-0.3</f>
        <v>-0.66310611479999992</v>
      </c>
    </row>
    <row r="1534" spans="1:6" x14ac:dyDescent="0.4">
      <c r="A1534" s="4">
        <v>1340.6851000000001</v>
      </c>
      <c r="B1534" s="4">
        <v>1.063504</v>
      </c>
      <c r="C1534" s="4">
        <v>1.0955557</v>
      </c>
      <c r="D1534" s="4">
        <v>-29.158398999999999</v>
      </c>
      <c r="E1534" s="4">
        <f>((-36.5304609/(10/9))+-10.5)+-0.4</f>
        <v>-43.777414809999996</v>
      </c>
      <c r="F1534" s="4">
        <f>((-0.69871312*(1.3/1.5))*0.6)-0.3</f>
        <v>-0.66333082239999996</v>
      </c>
    </row>
    <row r="1535" spans="1:6" x14ac:dyDescent="0.4">
      <c r="A1535" s="4">
        <v>1341.560025</v>
      </c>
      <c r="B1535" s="4">
        <v>1.0636159999999999</v>
      </c>
      <c r="C1535" s="4">
        <v>1.0954032</v>
      </c>
      <c r="D1535" s="4">
        <v>-29.157999999999998</v>
      </c>
      <c r="E1535" s="4">
        <f>((-36.5523552/(10/9))+-10.5)+-0.4</f>
        <v>-43.797119679999994</v>
      </c>
      <c r="F1535" s="4">
        <f>((-0.69904423*(1.3/1.5))*0.6)-0.3</f>
        <v>-0.66350299960000003</v>
      </c>
    </row>
    <row r="1536" spans="1:6" x14ac:dyDescent="0.4">
      <c r="A1536" s="4">
        <v>1342.4349499999998</v>
      </c>
      <c r="B1536" s="4">
        <v>1.0635391000000001</v>
      </c>
      <c r="C1536" s="4">
        <v>1.0956953</v>
      </c>
      <c r="D1536" s="4">
        <v>-29.157799999999998</v>
      </c>
      <c r="E1536" s="4">
        <f>((-36.5083614/(10/9))+-10.5)+-0.4</f>
        <v>-43.757525259999994</v>
      </c>
      <c r="F1536" s="4">
        <f>((-0.69941378*(1.3/1.5))*0.6)-0.3</f>
        <v>-0.66369516559999997</v>
      </c>
    </row>
    <row r="1537" spans="1:6" x14ac:dyDescent="0.4">
      <c r="A1537" s="4">
        <v>1343.3098749999999</v>
      </c>
      <c r="B1537" s="4">
        <v>1.0638091999999999</v>
      </c>
      <c r="C1537" s="4">
        <v>1.0959289999999999</v>
      </c>
      <c r="D1537" s="4">
        <v>-29.157803999999999</v>
      </c>
      <c r="E1537" s="4">
        <f>((-36.4773249/(10/9))+-10.5)+-0.4</f>
        <v>-43.729592409999995</v>
      </c>
      <c r="F1537" s="4">
        <f>((-0.69975322*(1.3/1.5))*0.6)-0.3</f>
        <v>-0.66387167439999994</v>
      </c>
    </row>
    <row r="1538" spans="1:6" x14ac:dyDescent="0.4">
      <c r="A1538" s="4">
        <v>1344.1848</v>
      </c>
      <c r="B1538" s="4">
        <v>1.0639665</v>
      </c>
      <c r="C1538" s="4">
        <v>1.0961263999999999</v>
      </c>
      <c r="D1538" s="4">
        <v>-29.157453</v>
      </c>
      <c r="E1538" s="4">
        <f>((-36.5355594/(10/9))+-10.5)+-0.4</f>
        <v>-43.782003459999991</v>
      </c>
      <c r="F1538" s="4">
        <f>((-0.70010531*(1.3/1.5))*0.6)-0.3</f>
        <v>-0.66405476119999995</v>
      </c>
    </row>
    <row r="1539" spans="1:6" x14ac:dyDescent="0.4">
      <c r="A1539" s="4">
        <v>1345.0597250000001</v>
      </c>
      <c r="B1539" s="4">
        <v>1.0640327999999999</v>
      </c>
      <c r="C1539" s="4">
        <v>1.0961472999999999</v>
      </c>
      <c r="D1539" s="4">
        <v>-29.157011999999998</v>
      </c>
      <c r="E1539" s="4">
        <f>((-36.5066757/(10/9))+-10.5)+-0.4</f>
        <v>-43.756008129999998</v>
      </c>
      <c r="F1539" s="4">
        <f>((-0.7005353*(1.3/1.5))*0.6)-0.3</f>
        <v>-0.66427835599999996</v>
      </c>
    </row>
    <row r="1540" spans="1:6" x14ac:dyDescent="0.4">
      <c r="A1540" s="4">
        <v>1345.9346499999999</v>
      </c>
      <c r="B1540" s="4">
        <v>1.064314</v>
      </c>
      <c r="C1540" s="4">
        <v>1.0961460000000001</v>
      </c>
      <c r="D1540" s="4">
        <v>-29.156503000000001</v>
      </c>
      <c r="E1540" s="4">
        <f>((-36.470709/(10/9))+-10.5)+-0.4</f>
        <v>-43.723638099999995</v>
      </c>
      <c r="F1540" s="4">
        <f>((-0.70099801*(1.3/1.5))*0.6)-0.3</f>
        <v>-0.66451896519999998</v>
      </c>
    </row>
    <row r="1541" spans="1:6" x14ac:dyDescent="0.4">
      <c r="A1541" s="4">
        <v>1346.809575</v>
      </c>
      <c r="B1541" s="4">
        <v>1.0645617000000001</v>
      </c>
      <c r="C1541" s="4">
        <v>1.0965872000000001</v>
      </c>
      <c r="D1541" s="4">
        <v>-29.156220999999999</v>
      </c>
      <c r="E1541" s="4">
        <f>((-36.5056866/(10/9))+-10.5)+-0.4</f>
        <v>-43.755117939999991</v>
      </c>
      <c r="F1541" s="4">
        <f>((-0.701469*(1.3/1.5))*0.6)-0.3</f>
        <v>-0.66476387999999997</v>
      </c>
    </row>
    <row r="1542" spans="1:6" x14ac:dyDescent="0.4">
      <c r="A1542" s="4">
        <v>1347.6845000000001</v>
      </c>
      <c r="B1542" s="4">
        <v>1.0645502</v>
      </c>
      <c r="C1542" s="4">
        <v>1.0965891999999999</v>
      </c>
      <c r="D1542" s="4">
        <v>-29.156167</v>
      </c>
      <c r="E1542" s="4">
        <f>((-36.4696308/(10/9))+-10.5)+-0.4</f>
        <v>-43.722667719999997</v>
      </c>
      <c r="F1542" s="4">
        <f>((-0.70186865*(1.3/1.5))*0.6)-0.3</f>
        <v>-0.664971698</v>
      </c>
    </row>
    <row r="1543" spans="1:6" x14ac:dyDescent="0.4">
      <c r="A1543" s="4">
        <v>1348.5594250000001</v>
      </c>
      <c r="B1543" s="4">
        <v>1.0646887</v>
      </c>
      <c r="C1543" s="4">
        <v>1.0968956000000001</v>
      </c>
      <c r="D1543" s="4">
        <v>-29.155678999999999</v>
      </c>
      <c r="E1543" s="4">
        <f>((-36.4890663/(10/9))+-10.5)+-0.4</f>
        <v>-43.740159669999997</v>
      </c>
      <c r="F1543" s="4">
        <f>((-0.70225853*(1.3/1.5))*0.6)-0.3</f>
        <v>-0.6651744356</v>
      </c>
    </row>
    <row r="1544" spans="1:6" x14ac:dyDescent="0.4">
      <c r="A1544" s="4">
        <v>1349.43435</v>
      </c>
      <c r="B1544" s="4">
        <v>1.0646944</v>
      </c>
      <c r="C1544" s="4">
        <v>1.0968952000000001</v>
      </c>
      <c r="D1544" s="4">
        <v>-29.155291999999999</v>
      </c>
      <c r="E1544" s="4">
        <f>((-36.4995315/(10/9))+-10.5)+-0.4</f>
        <v>-43.74957835</v>
      </c>
      <c r="F1544" s="4">
        <f>((-0.70269841*(1.3/1.5))*0.6)-0.3</f>
        <v>-0.66540317319999998</v>
      </c>
    </row>
    <row r="1545" spans="1:6" x14ac:dyDescent="0.4">
      <c r="A1545" s="4">
        <v>1350.3092749999998</v>
      </c>
      <c r="B1545" s="4">
        <v>1.0649360000000001</v>
      </c>
      <c r="C1545" s="4">
        <v>1.0971887</v>
      </c>
      <c r="D1545" s="4">
        <v>-29.155155999999998</v>
      </c>
      <c r="E1545" s="4">
        <f>((-36.4478922/(10/9))+-10.5)+-0.4</f>
        <v>-43.703102979999997</v>
      </c>
      <c r="F1545" s="4">
        <f>((-0.70319611*(1.3/1.5))*0.6)-0.3</f>
        <v>-0.66566197719999998</v>
      </c>
    </row>
    <row r="1546" spans="1:6" x14ac:dyDescent="0.4">
      <c r="A1546" s="4">
        <v>1351.1841999999999</v>
      </c>
      <c r="B1546" s="4">
        <v>1.0650634000000001</v>
      </c>
      <c r="C1546" s="4">
        <v>1.0971953000000001</v>
      </c>
      <c r="D1546" s="4">
        <v>-29.154499999999999</v>
      </c>
      <c r="E1546" s="4">
        <f>((-36.4369743/(10/9))+-10.5)+-0.4</f>
        <v>-43.693276869999998</v>
      </c>
      <c r="F1546" s="4">
        <f>((-0.70364749*(1.3/1.5))*0.6)-0.3</f>
        <v>-0.66589669480000002</v>
      </c>
    </row>
    <row r="1547" spans="1:6" x14ac:dyDescent="0.4">
      <c r="A1547" s="4">
        <v>1352.059125</v>
      </c>
      <c r="B1547" s="4">
        <v>1.0652573999999999</v>
      </c>
      <c r="C1547" s="4">
        <v>1.0976615000000001</v>
      </c>
      <c r="D1547" s="4">
        <v>-29.154154999999999</v>
      </c>
      <c r="E1547" s="4">
        <f>((-36.4369536/(10/9))+-10.5)+-0.4</f>
        <v>-43.693258239999999</v>
      </c>
      <c r="F1547" s="4">
        <f>((-0.70406753*(1.3/1.5))*0.6)-0.3</f>
        <v>-0.66611511560000003</v>
      </c>
    </row>
    <row r="1548" spans="1:6" x14ac:dyDescent="0.4">
      <c r="A1548" s="4">
        <v>1352.9340500000001</v>
      </c>
      <c r="B1548" s="4">
        <v>1.0655254999999999</v>
      </c>
      <c r="C1548" s="4">
        <v>1.0978135</v>
      </c>
      <c r="D1548" s="4">
        <v>-29.153708999999999</v>
      </c>
      <c r="E1548" s="4">
        <f>((-36.4285557/(10/9))+-10.5)+-0.4</f>
        <v>-43.685700129999994</v>
      </c>
      <c r="F1548" s="4">
        <f>((-0.70452279*(1.3/1.5))*0.6)-0.3</f>
        <v>-0.66635185079999992</v>
      </c>
    </row>
    <row r="1549" spans="1:6" x14ac:dyDescent="0.4">
      <c r="A1549" s="4">
        <v>1353.8089750000001</v>
      </c>
      <c r="B1549" s="4">
        <v>1.0654778</v>
      </c>
      <c r="C1549" s="4">
        <v>1.0979409</v>
      </c>
      <c r="D1549" s="4">
        <v>-29.15307</v>
      </c>
      <c r="E1549" s="4">
        <f>((-36.3855825/(10/9))+-10.5)+-0.4</f>
        <v>-43.647024249999994</v>
      </c>
      <c r="F1549" s="4">
        <f>((-0.70500743*(1.3/1.5))*0.6)-0.3</f>
        <v>-0.66660386360000001</v>
      </c>
    </row>
    <row r="1550" spans="1:6" x14ac:dyDescent="0.4">
      <c r="A1550" s="4">
        <v>1354.6839</v>
      </c>
      <c r="B1550" s="4">
        <v>1.0653832000000001</v>
      </c>
      <c r="C1550" s="4">
        <v>1.0980482</v>
      </c>
      <c r="D1550" s="4">
        <v>-29.152432999999998</v>
      </c>
      <c r="E1550" s="4">
        <f>((-36.4322367/(10/9))+-10.5)+-0.4</f>
        <v>-43.689013029999991</v>
      </c>
      <c r="F1550" s="4">
        <f>((-0.7055338*(1.3/1.5))*0.6)-0.3</f>
        <v>-0.66687757600000008</v>
      </c>
    </row>
    <row r="1551" spans="1:6" x14ac:dyDescent="0.4">
      <c r="A1551" s="4">
        <v>1355.5588249999998</v>
      </c>
      <c r="B1551" s="4">
        <v>1.0656958999999999</v>
      </c>
      <c r="C1551" s="4">
        <v>1.0981567000000001</v>
      </c>
      <c r="D1551" s="4">
        <v>-29.151987999999999</v>
      </c>
      <c r="E1551" s="4">
        <f>((-36.395298/(10/9))+-10.5)+-0.4</f>
        <v>-43.655768199999997</v>
      </c>
      <c r="F1551" s="4">
        <f>((-0.70598954*(1.3/1.5))*0.6)-0.3</f>
        <v>-0.66711456079999998</v>
      </c>
    </row>
    <row r="1552" spans="1:6" x14ac:dyDescent="0.4">
      <c r="A1552" s="4">
        <v>1356.4337499999999</v>
      </c>
      <c r="B1552" s="4">
        <v>1.0658053999999999</v>
      </c>
      <c r="C1552" s="4">
        <v>1.0985837000000001</v>
      </c>
      <c r="D1552" s="4">
        <v>-29.151650999999998</v>
      </c>
      <c r="E1552" s="4">
        <f>((-36.4841919/(10/9))+-10.5)+-0.4</f>
        <v>-43.735772709999999</v>
      </c>
      <c r="F1552" s="4">
        <f>((-0.70639515*(1.3/1.5))*0.6)-0.3</f>
        <v>-0.66732547799999997</v>
      </c>
    </row>
    <row r="1553" spans="1:6" x14ac:dyDescent="0.4">
      <c r="A1553" s="4">
        <v>1357.308675</v>
      </c>
      <c r="B1553" s="4">
        <v>1.0659772000000001</v>
      </c>
      <c r="C1553" s="4">
        <v>1.0984799000000001</v>
      </c>
      <c r="D1553" s="4">
        <v>-29.151433000000001</v>
      </c>
      <c r="E1553" s="4">
        <f>((-36.4599252/(10/9))+-10.5)+-0.4</f>
        <v>-43.713932679999999</v>
      </c>
      <c r="F1553" s="4">
        <f>((-0.70673966*(1.3/1.5))*0.6)-0.3</f>
        <v>-0.66750462319999992</v>
      </c>
    </row>
    <row r="1554" spans="1:6" x14ac:dyDescent="0.4">
      <c r="A1554" s="4">
        <v>1358.1836000000001</v>
      </c>
      <c r="B1554" s="4">
        <v>1.0661370999999999</v>
      </c>
      <c r="C1554" s="4">
        <v>1.0987235</v>
      </c>
      <c r="D1554" s="4">
        <v>-29.151288000000001</v>
      </c>
      <c r="E1554" s="4">
        <f>((-36.4152384/(10/9))+-10.5)+-0.4</f>
        <v>-43.673714559999993</v>
      </c>
      <c r="F1554" s="4">
        <f>((-0.70713311*(1.3/1.5))*0.6)-0.3</f>
        <v>-0.66770921720000009</v>
      </c>
    </row>
    <row r="1555" spans="1:6" x14ac:dyDescent="0.4">
      <c r="A1555" s="4">
        <v>1359.0585249999999</v>
      </c>
      <c r="B1555" s="4">
        <v>1.0663043000000001</v>
      </c>
      <c r="C1555" s="4">
        <v>1.0990382000000001</v>
      </c>
      <c r="D1555" s="4">
        <v>-29.150959999999998</v>
      </c>
      <c r="E1555" s="4">
        <f>((-36.4429449/(10/9))+-10.5)+-0.4</f>
        <v>-43.698650409999999</v>
      </c>
      <c r="F1555" s="4">
        <f>((-0.70763475*(1.3/1.5))*0.6)-0.3</f>
        <v>-0.66797006999999997</v>
      </c>
    </row>
    <row r="1556" spans="1:6" x14ac:dyDescent="0.4">
      <c r="A1556" s="4">
        <v>1359.93345</v>
      </c>
      <c r="B1556" s="4">
        <v>1.0662235</v>
      </c>
      <c r="C1556" s="4">
        <v>1.0991181000000001</v>
      </c>
      <c r="D1556" s="4">
        <v>-29.150715999999999</v>
      </c>
      <c r="E1556" s="4">
        <f>((-36.3623391/(10/9))+-10.5)+-0.4</f>
        <v>-43.626105189999997</v>
      </c>
      <c r="F1556" s="4">
        <f>((-0.70816165*(1.3/1.5))*0.6)-0.3</f>
        <v>-0.66824405799999997</v>
      </c>
    </row>
    <row r="1557" spans="1:6" x14ac:dyDescent="0.4">
      <c r="A1557" s="4">
        <v>1360.8083750000001</v>
      </c>
      <c r="B1557" s="4">
        <v>1.0665442999999999</v>
      </c>
      <c r="C1557" s="4">
        <v>1.0992736999999999</v>
      </c>
      <c r="D1557" s="4">
        <v>-29.150307999999999</v>
      </c>
      <c r="E1557" s="4">
        <f>((-36.3512943/(10/9))+-10.5)+-0.4</f>
        <v>-43.616164869999999</v>
      </c>
      <c r="F1557" s="4">
        <f>((-0.70863724*(1.3/1.5))*0.6)-0.3</f>
        <v>-0.66849136479999993</v>
      </c>
    </row>
    <row r="1558" spans="1:6" x14ac:dyDescent="0.4">
      <c r="A1558" s="4">
        <v>1361.6833000000001</v>
      </c>
      <c r="B1558" s="4">
        <v>1.0664486</v>
      </c>
      <c r="C1558" s="4">
        <v>1.0992738</v>
      </c>
      <c r="D1558" s="4">
        <v>-29.149863</v>
      </c>
      <c r="E1558" s="4">
        <f>((-36.3971007/(10/9))+-10.5)+-0.4</f>
        <v>-43.657390630000002</v>
      </c>
      <c r="F1558" s="4">
        <f>((-0.70903647*(1.3/1.5))*0.6)-0.3</f>
        <v>-0.66869896439999998</v>
      </c>
    </row>
    <row r="1559" spans="1:6" x14ac:dyDescent="0.4">
      <c r="A1559" s="4">
        <v>1362.558225</v>
      </c>
      <c r="B1559" s="4">
        <v>1.0667598</v>
      </c>
      <c r="C1559" s="4">
        <v>1.0997045000000001</v>
      </c>
      <c r="D1559" s="4">
        <v>-29.149231999999998</v>
      </c>
      <c r="E1559" s="4">
        <f>((-36.3135087/(10/9))+-10.5)+-0.4</f>
        <v>-43.58215783</v>
      </c>
      <c r="F1559" s="4">
        <f>((-0.70948738*(1.3/1.5))*0.6)-0.3</f>
        <v>-0.66893343760000001</v>
      </c>
    </row>
    <row r="1560" spans="1:6" x14ac:dyDescent="0.4">
      <c r="A1560" s="4">
        <v>1363.4331499999998</v>
      </c>
      <c r="B1560" s="4">
        <v>1.0668808000000001</v>
      </c>
      <c r="C1560" s="4">
        <v>1.0996504</v>
      </c>
      <c r="D1560" s="4">
        <v>-29.148634999999999</v>
      </c>
      <c r="E1560" s="4">
        <f>((-36.3652263/(10/9))+-10.5)+-0.4</f>
        <v>-43.62870367</v>
      </c>
      <c r="F1560" s="4">
        <f>((-0.70992666*(1.3/1.5))*0.6)-0.3</f>
        <v>-0.66916186320000004</v>
      </c>
    </row>
    <row r="1561" spans="1:6" x14ac:dyDescent="0.4">
      <c r="A1561" s="4">
        <v>1364.3080749999999</v>
      </c>
      <c r="B1561" s="4">
        <v>1.0672134</v>
      </c>
      <c r="C1561" s="4">
        <v>1.0998844999999999</v>
      </c>
      <c r="D1561" s="4">
        <v>-29.147592</v>
      </c>
      <c r="E1561" s="4">
        <f>((-36.3310767/(10/9))+-10.5)+-0.4</f>
        <v>-43.597969029999994</v>
      </c>
      <c r="F1561" s="4">
        <f>((-0.71028769*(1.3/1.5))*0.6)-0.3</f>
        <v>-0.6693495988</v>
      </c>
    </row>
    <row r="1562" spans="1:6" x14ac:dyDescent="0.4">
      <c r="A1562" s="4">
        <v>1365.183</v>
      </c>
      <c r="B1562" s="4">
        <v>1.0674136000000001</v>
      </c>
      <c r="C1562" s="4">
        <v>1.1001909000000001</v>
      </c>
      <c r="D1562" s="4">
        <v>-29.146626999999999</v>
      </c>
      <c r="E1562" s="4">
        <f>((-36.419094/(10/9))+-10.5)+-0.4</f>
        <v>-43.677184599999997</v>
      </c>
      <c r="F1562" s="4">
        <f>((-0.71068937*(1.3/1.5))*0.6)-0.3</f>
        <v>-0.66955847239999999</v>
      </c>
    </row>
    <row r="1563" spans="1:6" x14ac:dyDescent="0.4">
      <c r="A1563" s="4">
        <v>1366.0579250000001</v>
      </c>
      <c r="B1563" s="4">
        <v>1.0673908999999999</v>
      </c>
      <c r="C1563" s="4">
        <v>1.1005117</v>
      </c>
      <c r="D1563" s="4">
        <v>-29.145970999999999</v>
      </c>
      <c r="E1563" s="4">
        <f>((-36.2865924/(10/9))+-10.5)+-0.4</f>
        <v>-43.557933159999997</v>
      </c>
      <c r="F1563" s="4">
        <f>((-0.71110427*(1.3/1.5))*0.6)-0.3</f>
        <v>-0.6697742203999999</v>
      </c>
    </row>
    <row r="1564" spans="1:6" x14ac:dyDescent="0.4">
      <c r="A1564" s="4">
        <v>1366.9328500000001</v>
      </c>
      <c r="B1564" s="4">
        <v>1.0674056000000001</v>
      </c>
      <c r="C1564" s="4">
        <v>1.1004722</v>
      </c>
      <c r="D1564" s="4">
        <v>-29.145440000000001</v>
      </c>
      <c r="E1564" s="4">
        <f>((-36.2931876/(10/9))+-10.5)+-0.4</f>
        <v>-43.563868839999998</v>
      </c>
      <c r="F1564" s="4">
        <f>((-0.71156114*(1.3/1.5))*0.6)-0.3</f>
        <v>-0.67001179280000001</v>
      </c>
    </row>
    <row r="1565" spans="1:6" x14ac:dyDescent="0.4">
      <c r="A1565" s="4">
        <v>1367.807775</v>
      </c>
      <c r="B1565" s="4">
        <v>1.0674471000000001</v>
      </c>
      <c r="C1565" s="4">
        <v>1.1005431000000001</v>
      </c>
      <c r="D1565" s="4">
        <v>-29.144781999999999</v>
      </c>
      <c r="E1565" s="4">
        <f>((-36.3328209/(10/9))+-10.5)+-0.4</f>
        <v>-43.599538809999999</v>
      </c>
      <c r="F1565" s="4">
        <f>((-0.71197855*(1.3/1.5))*0.6)-0.3</f>
        <v>-0.67022884599999999</v>
      </c>
    </row>
    <row r="1566" spans="1:6" x14ac:dyDescent="0.4">
      <c r="A1566" s="4">
        <v>1368.6826999999998</v>
      </c>
      <c r="B1566" s="4">
        <v>1.0678380000000001</v>
      </c>
      <c r="C1566" s="4">
        <v>1.1006525</v>
      </c>
      <c r="D1566" s="4">
        <v>-29.144195</v>
      </c>
      <c r="E1566" s="4">
        <f>((-36.282438/(10/9))+-10.5)+-0.4</f>
        <v>-43.554194199999998</v>
      </c>
      <c r="F1566" s="4">
        <f>((-0.71243584*(1.3/1.5))*0.6)-0.3</f>
        <v>-0.67046663679999996</v>
      </c>
    </row>
    <row r="1567" spans="1:6" x14ac:dyDescent="0.4">
      <c r="A1567" s="4">
        <v>1369.5576249999999</v>
      </c>
      <c r="B1567" s="4">
        <v>1.0680075</v>
      </c>
      <c r="C1567" s="4">
        <v>1.1009872999999999</v>
      </c>
      <c r="D1567" s="4">
        <v>-29.143591999999998</v>
      </c>
      <c r="E1567" s="4">
        <f>((-36.3174741/(10/9))+-10.5)+-0.4</f>
        <v>-43.585726689999994</v>
      </c>
      <c r="F1567" s="4">
        <f>((-0.71295232*(1.3/1.5))*0.6)-0.3</f>
        <v>-0.67073520639999995</v>
      </c>
    </row>
    <row r="1568" spans="1:6" x14ac:dyDescent="0.4">
      <c r="A1568" s="4">
        <v>1370.43255</v>
      </c>
      <c r="B1568" s="4">
        <v>1.0679893</v>
      </c>
      <c r="C1568" s="4">
        <v>1.1012335</v>
      </c>
      <c r="D1568" s="4">
        <v>-29.143070999999999</v>
      </c>
      <c r="E1568" s="4">
        <f>((-36.3587418/(10/9))+-10.5)+-0.4</f>
        <v>-43.622867619999994</v>
      </c>
      <c r="F1568" s="4">
        <f>((-0.71345252*(1.3/1.5))*0.6)-0.3</f>
        <v>-0.67099531040000004</v>
      </c>
    </row>
    <row r="1569" spans="1:6" x14ac:dyDescent="0.4">
      <c r="A1569" s="4">
        <v>1371.3074750000001</v>
      </c>
      <c r="B1569" s="4">
        <v>1.0683448</v>
      </c>
      <c r="C1569" s="4">
        <v>1.1014774000000001</v>
      </c>
      <c r="D1569" s="4">
        <v>-29.142495</v>
      </c>
      <c r="E1569" s="4">
        <f>((-36.3222738/(10/9))+-10.5)+-0.4</f>
        <v>-43.590046419999993</v>
      </c>
      <c r="F1569" s="4">
        <f>((-0.7139464*(1.3/1.5))*0.6)-0.3</f>
        <v>-0.671252128</v>
      </c>
    </row>
    <row r="1570" spans="1:6" x14ac:dyDescent="0.4">
      <c r="A1570" s="4">
        <v>1372.1823999999999</v>
      </c>
      <c r="B1570" s="4">
        <v>1.0686315</v>
      </c>
      <c r="C1570" s="4">
        <v>1.1016284999999999</v>
      </c>
      <c r="D1570" s="4">
        <v>-29.14179</v>
      </c>
      <c r="E1570" s="4">
        <f>((-36.3651651/(10/9))+-10.5)+-0.4</f>
        <v>-43.628648589999997</v>
      </c>
      <c r="F1570" s="4">
        <f>((-0.71440405*(1.3/1.5))*0.6)-0.3</f>
        <v>-0.67149010599999992</v>
      </c>
    </row>
    <row r="1571" spans="1:6" x14ac:dyDescent="0.4">
      <c r="A1571" s="4">
        <v>1373.057325</v>
      </c>
      <c r="B1571" s="4">
        <v>1.068786</v>
      </c>
      <c r="C1571" s="4">
        <v>1.1016775000000001</v>
      </c>
      <c r="D1571" s="4">
        <v>-29.141500000000001</v>
      </c>
      <c r="E1571" s="4">
        <f>((-36.3325221/(10/9))+-10.5)+-0.4</f>
        <v>-43.599269889999995</v>
      </c>
      <c r="F1571" s="4">
        <f>((-0.71493691*(1.3/1.5))*0.6)-0.3</f>
        <v>-0.6717671932</v>
      </c>
    </row>
    <row r="1572" spans="1:6" x14ac:dyDescent="0.4">
      <c r="A1572" s="4">
        <v>1373.9322500000001</v>
      </c>
      <c r="B1572" s="4">
        <v>1.0685562</v>
      </c>
      <c r="C1572" s="4">
        <v>1.1019235999999999</v>
      </c>
      <c r="D1572" s="4">
        <v>-29.141062999999999</v>
      </c>
      <c r="E1572" s="4">
        <f>((-36.2957382/(10/9))+-10.5)+-0.4</f>
        <v>-43.566164379999996</v>
      </c>
      <c r="F1572" s="4">
        <f>((-0.71537286*(1.3/1.5))*0.6)-0.3</f>
        <v>-0.67199388719999997</v>
      </c>
    </row>
    <row r="1573" spans="1:6" x14ac:dyDescent="0.4">
      <c r="A1573" s="4">
        <v>1374.8071750000001</v>
      </c>
      <c r="B1573" s="4">
        <v>1.0688051999999999</v>
      </c>
      <c r="C1573" s="4">
        <v>1.1020724</v>
      </c>
      <c r="D1573" s="4">
        <v>-29.140722999999998</v>
      </c>
      <c r="E1573" s="4">
        <f>((-36.2633391/(10/9))+-10.5)+-0.4</f>
        <v>-43.537005190000002</v>
      </c>
      <c r="F1573" s="4">
        <f>((-0.71574664*(1.3/1.5))*0.6)-0.3</f>
        <v>-0.67218825280000005</v>
      </c>
    </row>
    <row r="1574" spans="1:6" x14ac:dyDescent="0.4">
      <c r="A1574" s="4">
        <v>1375.6821</v>
      </c>
      <c r="B1574" s="4">
        <v>1.068975</v>
      </c>
      <c r="C1574" s="4">
        <v>1.1022126999999999</v>
      </c>
      <c r="D1574" s="4">
        <v>-29.139973999999999</v>
      </c>
      <c r="E1574" s="4">
        <f>((-36.3428451/(10/9))+-10.5)+-0.4</f>
        <v>-43.608560589999996</v>
      </c>
      <c r="F1574" s="4">
        <f>((-0.71616131*(1.3/1.5))*0.6)-0.3</f>
        <v>-0.67240388119999994</v>
      </c>
    </row>
    <row r="1575" spans="1:6" x14ac:dyDescent="0.4">
      <c r="A1575" s="4">
        <v>1376.5570249999998</v>
      </c>
      <c r="B1575" s="4">
        <v>1.0690781</v>
      </c>
      <c r="C1575" s="4">
        <v>1.1022700999999999</v>
      </c>
      <c r="D1575" s="4">
        <v>-29.139450999999998</v>
      </c>
      <c r="E1575" s="4">
        <f>((-36.2471337/(10/9))+-10.5)+-0.4</f>
        <v>-43.522420329999996</v>
      </c>
      <c r="F1575" s="4">
        <f>((-0.71663779*(1.3/1.5))*0.6)-0.3</f>
        <v>-0.6726516508</v>
      </c>
    </row>
    <row r="1576" spans="1:6" x14ac:dyDescent="0.4">
      <c r="A1576" s="4">
        <v>1377.4319499999999</v>
      </c>
      <c r="B1576" s="4">
        <v>1.0693629</v>
      </c>
      <c r="C1576" s="4">
        <v>1.102779</v>
      </c>
      <c r="D1576" s="4">
        <v>-29.138670999999999</v>
      </c>
      <c r="E1576" s="4">
        <f>((-36.3044898/(10/9))+-10.5)+-0.4</f>
        <v>-43.574040819999993</v>
      </c>
      <c r="F1576" s="4">
        <f>((-0.71711099*(1.3/1.5))*0.6)-0.3</f>
        <v>-0.67289771479999994</v>
      </c>
    </row>
    <row r="1577" spans="1:6" x14ac:dyDescent="0.4">
      <c r="A1577" s="4">
        <v>1378.306875</v>
      </c>
      <c r="B1577" s="4">
        <v>1.0697836000000001</v>
      </c>
      <c r="C1577" s="4">
        <v>1.1029024000000001</v>
      </c>
      <c r="D1577" s="4">
        <v>-29.137656</v>
      </c>
      <c r="E1577" s="4">
        <f>((-36.2698137/(10/9))+-10.5)+-0.4</f>
        <v>-43.542832329999996</v>
      </c>
      <c r="F1577" s="4">
        <f>((-0.71755195*(1.3/1.5))*0.6)-0.3</f>
        <v>-0.67312701399999997</v>
      </c>
    </row>
    <row r="1578" spans="1:6" x14ac:dyDescent="0.4">
      <c r="A1578" s="4">
        <v>1379.1818000000001</v>
      </c>
      <c r="B1578" s="4">
        <v>1.0699189</v>
      </c>
      <c r="C1578" s="4">
        <v>1.1032919000000001</v>
      </c>
      <c r="D1578" s="4">
        <v>-29.137011999999999</v>
      </c>
      <c r="E1578" s="4">
        <f>((-36.3003147/(10/9))+-10.5)+-0.4</f>
        <v>-43.570283230000001</v>
      </c>
      <c r="F1578" s="4">
        <f>((-0.71800137*(1.3/1.5))*0.6)-0.3</f>
        <v>-0.67336071239999995</v>
      </c>
    </row>
    <row r="1579" spans="1:6" x14ac:dyDescent="0.4">
      <c r="A1579" s="4">
        <v>1380.0567250000001</v>
      </c>
      <c r="B1579" s="4">
        <v>1.0700536</v>
      </c>
      <c r="C1579" s="4">
        <v>1.1034595</v>
      </c>
      <c r="D1579" s="4">
        <v>-29.136367</v>
      </c>
      <c r="E1579" s="4">
        <f>((-36.2976849/(10/9))+-10.5)+-0.4</f>
        <v>-43.567916409999995</v>
      </c>
      <c r="F1579" s="4">
        <f>((-0.7184754*(1.3/1.5))*0.6)-0.3</f>
        <v>-0.67360720799999996</v>
      </c>
    </row>
    <row r="1580" spans="1:6" x14ac:dyDescent="0.4">
      <c r="A1580" s="4">
        <v>1380.93165</v>
      </c>
      <c r="B1580" s="4">
        <v>1.0700797</v>
      </c>
      <c r="C1580" s="4">
        <v>1.1033149</v>
      </c>
      <c r="D1580" s="4">
        <v>-29.135656000000001</v>
      </c>
      <c r="E1580" s="4">
        <f>((-36.2067867/(10/9))+-10.5)+-0.4</f>
        <v>-43.486108029999997</v>
      </c>
      <c r="F1580" s="4">
        <f>((-0.71889883*(1.3/1.5))*0.6)-0.3</f>
        <v>-0.67382739159999994</v>
      </c>
    </row>
    <row r="1581" spans="1:6" x14ac:dyDescent="0.4">
      <c r="A1581" s="4">
        <v>1381.8065750000001</v>
      </c>
      <c r="B1581" s="4">
        <v>1.0700730000000001</v>
      </c>
      <c r="C1581" s="4">
        <v>1.1034107</v>
      </c>
      <c r="D1581" s="4">
        <v>-29.134865999999999</v>
      </c>
      <c r="E1581" s="4">
        <f>((-36.2077614/(10/9))+-10.5)+-0.4</f>
        <v>-43.486985259999997</v>
      </c>
      <c r="F1581" s="4">
        <f>((-0.71932137*(1.3/1.5))*0.6)-0.3</f>
        <v>-0.67404711240000004</v>
      </c>
    </row>
    <row r="1582" spans="1:6" x14ac:dyDescent="0.4">
      <c r="A1582" s="4">
        <v>1382.6814999999999</v>
      </c>
      <c r="B1582" s="4">
        <v>1.0702486</v>
      </c>
      <c r="C1582" s="4">
        <v>1.1036748000000001</v>
      </c>
      <c r="D1582" s="4">
        <v>-29.133946999999999</v>
      </c>
      <c r="E1582" s="4">
        <f>((-36.2115351/(10/9))+-10.5)+-0.4</f>
        <v>-43.490381589999998</v>
      </c>
      <c r="F1582" s="4">
        <f>((-0.71982366*(1.3/1.5))*0.6)-0.3</f>
        <v>-0.6743083031999999</v>
      </c>
    </row>
    <row r="1583" spans="1:6" x14ac:dyDescent="0.4">
      <c r="A1583" s="4">
        <v>1383.556425</v>
      </c>
      <c r="B1583" s="4">
        <v>1.0704293</v>
      </c>
      <c r="C1583" s="4">
        <v>1.1040962000000001</v>
      </c>
      <c r="D1583" s="4">
        <v>-29.133588</v>
      </c>
      <c r="E1583" s="4">
        <f>((-36.2366145/(10/9))+-10.5)+-0.4</f>
        <v>-43.51295305</v>
      </c>
      <c r="F1583" s="4">
        <f>((-0.72035474*(1.3/1.5))*0.6)-0.3</f>
        <v>-0.67458446480000001</v>
      </c>
    </row>
    <row r="1584" spans="1:6" x14ac:dyDescent="0.4">
      <c r="A1584" s="4">
        <v>1384.4313500000001</v>
      </c>
      <c r="B1584" s="4">
        <v>1.0707685</v>
      </c>
      <c r="C1584" s="4">
        <v>1.1040154</v>
      </c>
      <c r="D1584" s="4">
        <v>-29.132755</v>
      </c>
      <c r="E1584" s="4">
        <f>((-36.2634696/(10/9))+-10.5)+-0.4</f>
        <v>-43.53712264</v>
      </c>
      <c r="F1584" s="4">
        <f>((-0.72087961*(1.3/1.5))*0.6)-0.3</f>
        <v>-0.67485739720000004</v>
      </c>
    </row>
    <row r="1585" spans="1:6" x14ac:dyDescent="0.4">
      <c r="A1585" s="4">
        <v>1385.3062749999999</v>
      </c>
      <c r="B1585" s="4">
        <v>1.0707754</v>
      </c>
      <c r="C1585" s="4">
        <v>1.1041272</v>
      </c>
      <c r="D1585" s="4">
        <v>-29.132161</v>
      </c>
      <c r="E1585" s="4">
        <f>((-36.2253915/(10/9))+-10.5)+-0.4</f>
        <v>-43.502852349999998</v>
      </c>
      <c r="F1585" s="4">
        <f>((-0.7213605*(1.3/1.5))*0.6)-0.3</f>
        <v>-0.67510745999999999</v>
      </c>
    </row>
    <row r="1586" spans="1:6" x14ac:dyDescent="0.4">
      <c r="A1586" s="4">
        <v>1386.1812</v>
      </c>
      <c r="B1586" s="4">
        <v>1.0708743000000001</v>
      </c>
      <c r="C1586" s="4">
        <v>1.1043350999999999</v>
      </c>
      <c r="D1586" s="4">
        <v>-29.131356</v>
      </c>
      <c r="E1586" s="4">
        <f>((-36.1503441/(10/9))+-10.5)+-0.4</f>
        <v>-43.435309689999997</v>
      </c>
      <c r="F1586" s="4">
        <f>((-0.7219063*(1.3/1.5))*0.6)-0.3</f>
        <v>-0.67539127600000004</v>
      </c>
    </row>
    <row r="1587" spans="1:6" x14ac:dyDescent="0.4">
      <c r="A1587" s="4">
        <v>1387.0561250000001</v>
      </c>
      <c r="B1587" s="4">
        <v>1.0710402000000001</v>
      </c>
      <c r="C1587" s="4">
        <v>1.1045889</v>
      </c>
      <c r="D1587" s="4">
        <v>-29.131177000000001</v>
      </c>
      <c r="E1587" s="4">
        <f>((-36.2623608/(10/9))+-10.5)+-0.4</f>
        <v>-43.536124719999997</v>
      </c>
      <c r="F1587" s="4">
        <f>((-0.72242552*(1.3/1.5))*0.6)-0.3</f>
        <v>-0.67566127040000001</v>
      </c>
    </row>
    <row r="1588" spans="1:6" x14ac:dyDescent="0.4">
      <c r="A1588" s="4">
        <v>1387.9310500000001</v>
      </c>
      <c r="B1588" s="4">
        <v>1.0711866999999999</v>
      </c>
      <c r="C1588" s="4">
        <v>1.1048445</v>
      </c>
      <c r="D1588" s="4">
        <v>-29.130924999999998</v>
      </c>
      <c r="E1588" s="4">
        <f>((-36.1928205/(10/9))+-10.5)+-0.4</f>
        <v>-43.47353845</v>
      </c>
      <c r="F1588" s="4">
        <f>((-0.7228871*(1.3/1.5))*0.6)-0.3</f>
        <v>-0.67590129200000004</v>
      </c>
    </row>
    <row r="1589" spans="1:6" x14ac:dyDescent="0.4">
      <c r="A1589" s="4">
        <v>1388.805975</v>
      </c>
      <c r="B1589" s="4">
        <v>1.0712216999999999</v>
      </c>
      <c r="C1589" s="4">
        <v>1.1049222000000001</v>
      </c>
      <c r="D1589" s="4">
        <v>-29.130673999999999</v>
      </c>
      <c r="E1589" s="4">
        <f>((-36.2058426/(10/9))+-10.5)+-0.4</f>
        <v>-43.485258339999994</v>
      </c>
      <c r="F1589" s="4">
        <f>((-0.72330028*(1.3/1.5))*0.6)-0.3</f>
        <v>-0.6761161456</v>
      </c>
    </row>
    <row r="1590" spans="1:6" x14ac:dyDescent="0.4">
      <c r="A1590" s="4">
        <v>1389.6808999999998</v>
      </c>
      <c r="B1590" s="4">
        <v>1.0714421999999999</v>
      </c>
      <c r="C1590" s="4">
        <v>1.1051704</v>
      </c>
      <c r="D1590" s="4">
        <v>-29.130229</v>
      </c>
      <c r="E1590" s="4">
        <f>((-36.1983447/(10/9))+-10.5)+-0.4</f>
        <v>-43.478510229999998</v>
      </c>
      <c r="F1590" s="4">
        <f>((-0.72366333*(1.3/1.5))*0.6)-0.3</f>
        <v>-0.67630493160000005</v>
      </c>
    </row>
    <row r="1591" spans="1:6" x14ac:dyDescent="0.4">
      <c r="A1591" s="4">
        <v>1390.5558249999999</v>
      </c>
      <c r="B1591" s="4">
        <v>1.0717178999999999</v>
      </c>
      <c r="C1591" s="4">
        <v>1.1056493999999999</v>
      </c>
      <c r="D1591" s="4">
        <v>-29.129863</v>
      </c>
      <c r="E1591" s="4">
        <f>((-36.200799/(10/9))+-10.5)+-0.4</f>
        <v>-43.480719100000002</v>
      </c>
      <c r="F1591" s="4">
        <f>((-0.72409278*(1.3/1.5))*0.6)-0.3</f>
        <v>-0.67652824560000002</v>
      </c>
    </row>
    <row r="1592" spans="1:6" x14ac:dyDescent="0.4">
      <c r="A1592" s="4">
        <v>1391.43075</v>
      </c>
      <c r="B1592" s="4">
        <v>1.0718643999999999</v>
      </c>
      <c r="C1592" s="4">
        <v>1.1056093</v>
      </c>
      <c r="D1592" s="4">
        <v>-29.129525000000001</v>
      </c>
      <c r="E1592" s="4">
        <f>((-36.1732059/(10/9))+-10.5)+-0.4</f>
        <v>-43.455885309999999</v>
      </c>
      <c r="F1592" s="4">
        <f>((-0.72460157*(1.3/1.5))*0.6)-0.3</f>
        <v>-0.6767928164</v>
      </c>
    </row>
    <row r="1593" spans="1:6" x14ac:dyDescent="0.4">
      <c r="A1593" s="4">
        <v>1392.3056750000001</v>
      </c>
      <c r="B1593" s="4">
        <v>1.0721134000000001</v>
      </c>
      <c r="C1593" s="4">
        <v>1.1057570999999999</v>
      </c>
      <c r="D1593" s="4">
        <v>-29.128488000000001</v>
      </c>
      <c r="E1593" s="4">
        <f>((-36.1712979/(10/9))+-10.5)+-0.4</f>
        <v>-43.454168109999998</v>
      </c>
      <c r="F1593" s="4">
        <f>((-0.72525567*(1.3/1.5))*0.6)-0.3</f>
        <v>-0.67713294840000005</v>
      </c>
    </row>
    <row r="1594" spans="1:6" x14ac:dyDescent="0.4">
      <c r="A1594" s="4">
        <v>1393.1806000000001</v>
      </c>
      <c r="B1594" s="4">
        <v>1.0720993999999999</v>
      </c>
      <c r="C1594" s="4">
        <v>1.1057513000000001</v>
      </c>
      <c r="D1594" s="4">
        <v>-29.128084999999999</v>
      </c>
      <c r="E1594" s="4">
        <f>((-36.232011/(10/9))+-10.5)+-0.4</f>
        <v>-43.508809899999996</v>
      </c>
      <c r="F1594" s="4">
        <f>((-0.72586972*(1.3/1.5))*0.6)-0.3</f>
        <v>-0.67745225440000001</v>
      </c>
    </row>
    <row r="1595" spans="1:6" x14ac:dyDescent="0.4">
      <c r="A1595" s="4">
        <v>1394.055525</v>
      </c>
      <c r="B1595" s="4">
        <v>1.0723046000000001</v>
      </c>
      <c r="C1595" s="4">
        <v>1.1060363</v>
      </c>
      <c r="D1595" s="4">
        <v>-29.127354999999998</v>
      </c>
      <c r="E1595" s="4">
        <f>((-36.1660203/(10/9))+-10.5)+-0.4</f>
        <v>-43.449418269999995</v>
      </c>
      <c r="F1595" s="4">
        <f>((-0.72641897*(1.3/1.5))*0.6)-0.3</f>
        <v>-0.67773786439999995</v>
      </c>
    </row>
    <row r="1596" spans="1:6" x14ac:dyDescent="0.4">
      <c r="A1596" s="4">
        <v>1394.9304500000001</v>
      </c>
      <c r="B1596" s="4">
        <v>1.0722655000000001</v>
      </c>
      <c r="C1596" s="4">
        <v>1.1061641</v>
      </c>
      <c r="D1596" s="4">
        <v>-29.126594000000001</v>
      </c>
      <c r="E1596" s="4">
        <f>((-36.1228923/(10/9))+-10.5)+-0.4</f>
        <v>-43.410603069999993</v>
      </c>
      <c r="F1596" s="4">
        <f>((-0.72691226*(1.3/1.5))*0.6)-0.3</f>
        <v>-0.67799437519999994</v>
      </c>
    </row>
    <row r="1597" spans="1:6" x14ac:dyDescent="0.4">
      <c r="A1597" s="4">
        <v>1395.8053749999999</v>
      </c>
      <c r="B1597" s="4">
        <v>1.0722305999999999</v>
      </c>
      <c r="C1597" s="4">
        <v>1.1064928000000001</v>
      </c>
      <c r="D1597" s="4">
        <v>-29.125975999999998</v>
      </c>
      <c r="E1597" s="4">
        <f>((-36.1230885/(10/9))+-10.5)+-0.4</f>
        <v>-43.410779649999995</v>
      </c>
      <c r="F1597" s="4">
        <f>((-0.72735697*(1.3/1.5))*0.6)-0.3</f>
        <v>-0.6782256244</v>
      </c>
    </row>
    <row r="1598" spans="1:6" x14ac:dyDescent="0.4">
      <c r="A1598" s="4">
        <v>1396.6803</v>
      </c>
      <c r="B1598" s="4">
        <v>1.0727507000000001</v>
      </c>
      <c r="C1598" s="4">
        <v>1.1064669</v>
      </c>
      <c r="D1598" s="4">
        <v>-29.125433999999998</v>
      </c>
      <c r="E1598" s="4">
        <f>((-36.1203309/(10/9))+-10.5)+-0.4</f>
        <v>-43.408297809999993</v>
      </c>
      <c r="F1598" s="4">
        <f>((-0.72791159*(1.3/1.5))*0.6)-0.3</f>
        <v>-0.67851402680000006</v>
      </c>
    </row>
    <row r="1599" spans="1:6" x14ac:dyDescent="0.4">
      <c r="A1599" s="4">
        <v>1397.5552250000001</v>
      </c>
      <c r="B1599" s="4">
        <v>1.0727808000000001</v>
      </c>
      <c r="C1599" s="4">
        <v>1.1067096000000001</v>
      </c>
      <c r="D1599" s="4">
        <v>-29.125094999999998</v>
      </c>
      <c r="E1599" s="4">
        <f>((-36.1944198/(10/9))+-10.5)+-0.4</f>
        <v>-43.474977819999992</v>
      </c>
      <c r="F1599" s="4">
        <f>((-0.72846967*(1.3/1.5))*0.6)-0.3</f>
        <v>-0.67880422839999999</v>
      </c>
    </row>
    <row r="1600" spans="1:6" x14ac:dyDescent="0.4">
      <c r="A1600" s="4">
        <v>1398.4301499999999</v>
      </c>
      <c r="B1600" s="4">
        <v>1.0729059999999999</v>
      </c>
      <c r="C1600" s="4">
        <v>1.1067956999999999</v>
      </c>
      <c r="D1600" s="4">
        <v>-29.124648000000001</v>
      </c>
      <c r="E1600" s="4">
        <f>((-36.1685889/(10/9))+-10.5)+-0.4</f>
        <v>-43.451730009999999</v>
      </c>
      <c r="F1600" s="4">
        <f>((-0.72902542*(1.3/1.5))*0.6)-0.3</f>
        <v>-0.67909321840000003</v>
      </c>
    </row>
    <row r="1601" spans="1:6" x14ac:dyDescent="0.4">
      <c r="A1601" s="4">
        <v>1399.305075</v>
      </c>
      <c r="B1601" s="4">
        <v>1.0728709999999999</v>
      </c>
      <c r="C1601" s="4">
        <v>1.1069492000000001</v>
      </c>
      <c r="D1601" s="4">
        <v>-29.124412</v>
      </c>
      <c r="E1601" s="4">
        <f>((-36.0831528/(10/9))+-10.5)+-0.4</f>
        <v>-43.37483752</v>
      </c>
      <c r="F1601" s="4">
        <f>((-0.7295835*(1.3/1.5))*0.6)-0.3</f>
        <v>-0.67938341999999996</v>
      </c>
    </row>
    <row r="1602" spans="1:6" x14ac:dyDescent="0.4">
      <c r="A1602" s="4">
        <v>1400.18</v>
      </c>
      <c r="B1602" s="4">
        <v>1.0730710999999999</v>
      </c>
      <c r="C1602" s="4">
        <v>1.1073672999999999</v>
      </c>
      <c r="D1602" s="4">
        <v>-29.124326</v>
      </c>
      <c r="E1602" s="4">
        <f>((-36.1386747/(10/9))+-10.5)+-0.4</f>
        <v>-43.424807229999999</v>
      </c>
      <c r="F1602" s="4">
        <f>((-0.73013479*(1.3/1.5))*0.6)-0.3</f>
        <v>-0.67967009079999996</v>
      </c>
    </row>
    <row r="1603" spans="1:6" x14ac:dyDescent="0.4">
      <c r="A1603" s="4">
        <v>1401.0549250000001</v>
      </c>
      <c r="B1603" s="4">
        <v>1.0733112</v>
      </c>
      <c r="C1603" s="4">
        <v>1.1075448999999999</v>
      </c>
      <c r="D1603" s="4">
        <v>-29.123964000000001</v>
      </c>
      <c r="E1603" s="4">
        <f>((-36.1309671/(10/9))+-10.5)+-0.4</f>
        <v>-43.417870389999997</v>
      </c>
      <c r="F1603" s="4">
        <f>((-0.73076487*(1.3/1.5))*0.6)-0.3</f>
        <v>-0.67999773239999994</v>
      </c>
    </row>
    <row r="1604" spans="1:6" x14ac:dyDescent="0.4">
      <c r="A1604" s="4">
        <v>1401.92985</v>
      </c>
      <c r="B1604" s="4">
        <v>1.0735872</v>
      </c>
      <c r="C1604" s="4">
        <v>1.1076493000000001</v>
      </c>
      <c r="D1604" s="4">
        <v>-29.123692999999999</v>
      </c>
      <c r="E1604" s="4">
        <f>((-36.1433439/(10/9))+-10.5)+-0.4</f>
        <v>-43.429009509999993</v>
      </c>
      <c r="F1604" s="4">
        <f>((-0.73130053*(1.3/1.5))*0.6)-0.3</f>
        <v>-0.68027627560000004</v>
      </c>
    </row>
    <row r="1605" spans="1:6" x14ac:dyDescent="0.4">
      <c r="A1605" s="4">
        <v>1402.8047749999998</v>
      </c>
      <c r="B1605" s="4">
        <v>1.0735058</v>
      </c>
      <c r="C1605" s="4">
        <v>1.1079574999999999</v>
      </c>
      <c r="D1605" s="4">
        <v>-29.123393</v>
      </c>
      <c r="E1605" s="4">
        <f>((-36.1328382/(10/9))+-10.5)+-0.4</f>
        <v>-43.419554380000001</v>
      </c>
      <c r="F1605" s="4">
        <f>((-0.73183995*(1.3/1.5))*0.6)-0.3</f>
        <v>-0.68055677400000003</v>
      </c>
    </row>
    <row r="1606" spans="1:6" x14ac:dyDescent="0.4">
      <c r="A1606" s="4">
        <v>1403.6796999999999</v>
      </c>
      <c r="B1606" s="4">
        <v>1.0738201999999999</v>
      </c>
      <c r="C1606" s="4">
        <v>1.1080805</v>
      </c>
      <c r="D1606" s="4">
        <v>-29.122861</v>
      </c>
      <c r="E1606" s="4">
        <f>((-36.0792666/(10/9))+-10.5)+-0.4</f>
        <v>-43.371339939999991</v>
      </c>
      <c r="F1606" s="4">
        <f>((-0.73236078*(1.3/1.5))*0.6)-0.3</f>
        <v>-0.6808276056</v>
      </c>
    </row>
    <row r="1607" spans="1:6" x14ac:dyDescent="0.4">
      <c r="A1607" s="4">
        <v>1404.554625</v>
      </c>
      <c r="B1607" s="4">
        <v>1.0739164000000001</v>
      </c>
      <c r="C1607" s="4">
        <v>1.1082004000000001</v>
      </c>
      <c r="D1607" s="4">
        <v>-29.122083</v>
      </c>
      <c r="E1607" s="4">
        <f>((-36.0894834/(10/9))+-10.5)+-0.4</f>
        <v>-43.380535059999993</v>
      </c>
      <c r="F1607" s="4">
        <f>((-0.73291939*(1.3/1.5))*0.6)-0.3</f>
        <v>-0.68111808279999997</v>
      </c>
    </row>
    <row r="1608" spans="1:6" x14ac:dyDescent="0.4">
      <c r="A1608" s="4">
        <v>1405.4295500000001</v>
      </c>
      <c r="B1608" s="4">
        <v>1.0739683</v>
      </c>
      <c r="C1608" s="4">
        <v>1.1081061000000001</v>
      </c>
      <c r="D1608" s="4">
        <v>-29.121623</v>
      </c>
      <c r="E1608" s="4">
        <f>((-36.1157373/(10/9))+-10.5)+-0.4</f>
        <v>-43.404163569999994</v>
      </c>
      <c r="F1608" s="4">
        <f>((-0.73343521*(1.3/1.5))*0.6)-0.3</f>
        <v>-0.68138630919999998</v>
      </c>
    </row>
    <row r="1609" spans="1:6" x14ac:dyDescent="0.4">
      <c r="A1609" s="4">
        <v>1406.3044750000001</v>
      </c>
      <c r="B1609" s="4">
        <v>1.0742929000000001</v>
      </c>
      <c r="C1609" s="4">
        <v>1.1086125</v>
      </c>
      <c r="D1609" s="4">
        <v>-29.121585</v>
      </c>
      <c r="E1609" s="4">
        <f>((-36.1021662/(10/9))+-10.5)+-0.4</f>
        <v>-43.391949579999995</v>
      </c>
      <c r="F1609" s="4">
        <f>((-0.73394614*(1.3/1.5))*0.6)-0.3</f>
        <v>-0.6816519928</v>
      </c>
    </row>
    <row r="1610" spans="1:6" x14ac:dyDescent="0.4">
      <c r="A1610" s="4">
        <v>1407.1794</v>
      </c>
      <c r="B1610" s="4">
        <v>1.0743910000000001</v>
      </c>
      <c r="C1610" s="4">
        <v>1.1085966</v>
      </c>
      <c r="D1610" s="4">
        <v>-29.121167</v>
      </c>
      <c r="E1610" s="4">
        <f>((-36.0929475/(10/9))+-10.5)+-0.4</f>
        <v>-43.383652749999996</v>
      </c>
      <c r="F1610" s="4">
        <f>((-0.73446023*(1.3/1.5))*0.6)-0.3</f>
        <v>-0.68191931959999996</v>
      </c>
    </row>
    <row r="1611" spans="1:6" x14ac:dyDescent="0.4">
      <c r="A1611" s="4">
        <v>1408.0543250000001</v>
      </c>
      <c r="B1611" s="4">
        <v>1.0744111999999999</v>
      </c>
      <c r="C1611" s="4">
        <v>1.1086148</v>
      </c>
      <c r="D1611" s="4">
        <v>-29.120791999999998</v>
      </c>
      <c r="E1611" s="4">
        <f>((-36.1097739/(10/9))+-10.5)+-0.4</f>
        <v>-43.398796509999997</v>
      </c>
      <c r="F1611" s="4">
        <f>((-0.73490351*(1.3/1.5))*0.6)-0.3</f>
        <v>-0.6821498252</v>
      </c>
    </row>
    <row r="1612" spans="1:6" x14ac:dyDescent="0.4">
      <c r="A1612" s="4">
        <v>1408.9292499999999</v>
      </c>
      <c r="B1612" s="4">
        <v>1.0747469999999999</v>
      </c>
      <c r="C1612" s="4">
        <v>1.1088502</v>
      </c>
      <c r="D1612" s="4">
        <v>-29.120282</v>
      </c>
      <c r="E1612" s="4">
        <f>((-36.0735876/(10/9))+-10.5)+-0.4</f>
        <v>-43.366228839999998</v>
      </c>
      <c r="F1612" s="4">
        <f>((-0.73542225*(1.3/1.5))*0.6)-0.3</f>
        <v>-0.68241956999999998</v>
      </c>
    </row>
    <row r="1613" spans="1:6" x14ac:dyDescent="0.4">
      <c r="A1613" s="4">
        <v>1409.804175</v>
      </c>
      <c r="B1613" s="4">
        <v>1.0748156</v>
      </c>
      <c r="C1613" s="4">
        <v>1.1090308</v>
      </c>
      <c r="D1613" s="4">
        <v>-29.119600999999999</v>
      </c>
      <c r="E1613" s="4">
        <f>((-36.1100763/(10/9))+-10.5)+-0.4</f>
        <v>-43.399068669999998</v>
      </c>
      <c r="F1613" s="4">
        <f>((-0.73597777*(1.3/1.5))*0.6)-0.3</f>
        <v>-0.68270844040000001</v>
      </c>
    </row>
    <row r="1614" spans="1:6" x14ac:dyDescent="0.4">
      <c r="A1614" s="4">
        <v>1410.6791000000001</v>
      </c>
      <c r="B1614" s="4">
        <v>1.0749483</v>
      </c>
      <c r="C1614" s="4">
        <v>1.1092198</v>
      </c>
      <c r="D1614" s="4">
        <v>-29.118717999999998</v>
      </c>
      <c r="E1614" s="4">
        <f>((-36.0780408/(10/9))+-10.5)+-0.4</f>
        <v>-43.370236719999994</v>
      </c>
      <c r="F1614" s="4">
        <f>((-0.7365216*(1.3/1.5))*0.6)-0.3</f>
        <v>-0.682991232</v>
      </c>
    </row>
    <row r="1615" spans="1:6" x14ac:dyDescent="0.4">
      <c r="A1615" s="4">
        <v>1411.5540249999999</v>
      </c>
      <c r="B1615" s="4">
        <v>1.0751592000000001</v>
      </c>
      <c r="C1615" s="4">
        <v>1.1095999000000001</v>
      </c>
      <c r="D1615" s="4">
        <v>-29.118064</v>
      </c>
      <c r="E1615" s="4">
        <f>((-36.063027/(10/9))+-10.5)+-0.4</f>
        <v>-43.356724299999996</v>
      </c>
      <c r="F1615" s="4">
        <f>((-0.73706645*(1.3/1.5))*0.6)-0.3</f>
        <v>-0.68327455400000003</v>
      </c>
    </row>
    <row r="1616" spans="1:6" x14ac:dyDescent="0.4">
      <c r="A1616" s="4">
        <v>1412.42895</v>
      </c>
      <c r="B1616" s="4">
        <v>1.0753786999999999</v>
      </c>
      <c r="C1616" s="4">
        <v>1.1095824000000001</v>
      </c>
      <c r="D1616" s="4">
        <v>-29.117895999999998</v>
      </c>
      <c r="E1616" s="4">
        <f>((-36.023562/(10/9))+-10.5)+-0.4</f>
        <v>-43.321205799999994</v>
      </c>
      <c r="F1616" s="4">
        <f>((-0.73756033*(1.3/1.5))*0.6)-0.3</f>
        <v>-0.68353137159999999</v>
      </c>
    </row>
    <row r="1617" spans="1:6" x14ac:dyDescent="0.4">
      <c r="A1617" s="4">
        <v>1413.3038750000001</v>
      </c>
      <c r="B1617" s="4">
        <v>1.0754009</v>
      </c>
      <c r="C1617" s="4">
        <v>1.1097519</v>
      </c>
      <c r="D1617" s="4">
        <v>-29.117819999999998</v>
      </c>
      <c r="E1617" s="4">
        <f>((-36.059724/(10/9))+-10.5)+-0.4</f>
        <v>-43.353751600000002</v>
      </c>
      <c r="F1617" s="4">
        <f>((-0.73807585*(1.3/1.5))*0.6)-0.3</f>
        <v>-0.68379944199999998</v>
      </c>
    </row>
    <row r="1618" spans="1:6" x14ac:dyDescent="0.4">
      <c r="A1618" s="4">
        <v>1414.1788000000001</v>
      </c>
      <c r="B1618" s="4">
        <v>1.0758055</v>
      </c>
      <c r="C1618" s="4">
        <v>1.1100923</v>
      </c>
      <c r="D1618" s="4">
        <v>-29.117329999999999</v>
      </c>
      <c r="E1618" s="4">
        <f>((-36.0171729/(10/9))+-10.5)+-0.4</f>
        <v>-43.315455609999994</v>
      </c>
      <c r="F1618" s="4">
        <f>((-0.73860556*(1.3/1.5))*0.6)-0.3</f>
        <v>-0.68407489119999998</v>
      </c>
    </row>
    <row r="1619" spans="1:6" x14ac:dyDescent="0.4">
      <c r="A1619" s="4">
        <v>1415.053725</v>
      </c>
      <c r="B1619" s="4">
        <v>1.0757085</v>
      </c>
      <c r="C1619" s="4">
        <v>1.1100909999999999</v>
      </c>
      <c r="D1619" s="4">
        <v>-29.116810999999998</v>
      </c>
      <c r="E1619" s="4">
        <f>((-35.9656029/(10/9))+-10.5)+-0.4</f>
        <v>-43.26904261</v>
      </c>
      <c r="F1619" s="4">
        <f>((-0.73913544*(1.3/1.5))*0.6)-0.3</f>
        <v>-0.68435042879999997</v>
      </c>
    </row>
    <row r="1620" spans="1:6" x14ac:dyDescent="0.4">
      <c r="A1620" s="4">
        <v>1415.9286499999998</v>
      </c>
      <c r="B1620" s="4">
        <v>1.0759737</v>
      </c>
      <c r="C1620" s="4">
        <v>1.1103244000000001</v>
      </c>
      <c r="D1620" s="4">
        <v>-29.116457999999998</v>
      </c>
      <c r="E1620" s="4">
        <f>((-35.9942904/(10/9))+-10.5)+-0.4</f>
        <v>-43.294861359999992</v>
      </c>
      <c r="F1620" s="4">
        <f>((-0.73968083*(1.3/1.5))*0.6)-0.3</f>
        <v>-0.68463403159999991</v>
      </c>
    </row>
    <row r="1621" spans="1:6" x14ac:dyDescent="0.4">
      <c r="A1621" s="4">
        <v>1416.8035749999999</v>
      </c>
      <c r="B1621" s="4">
        <v>1.0761064</v>
      </c>
      <c r="C1621" s="4">
        <v>1.1104848</v>
      </c>
      <c r="D1621" s="4">
        <v>-29.116536</v>
      </c>
      <c r="E1621" s="4">
        <f>((-35.9888076/(10/9))+-10.5)+-0.4</f>
        <v>-43.28992684</v>
      </c>
      <c r="F1621" s="4">
        <f>((-0.74026024*(1.3/1.5))*0.6)-0.3</f>
        <v>-0.68493532480000008</v>
      </c>
    </row>
    <row r="1622" spans="1:6" x14ac:dyDescent="0.4">
      <c r="A1622" s="4">
        <v>1417.6785</v>
      </c>
      <c r="B1622" s="4">
        <v>1.0762552999999999</v>
      </c>
      <c r="C1622" s="4">
        <v>1.110352</v>
      </c>
      <c r="D1622" s="4">
        <v>-29.115976</v>
      </c>
      <c r="E1622" s="4">
        <f>((-36.0615582/(10/9))+-10.5)+-0.4</f>
        <v>-43.355402379999994</v>
      </c>
      <c r="F1622" s="4">
        <f>((-0.74068266*(1.3/1.5))*0.6)-0.3</f>
        <v>-0.68515498320000001</v>
      </c>
    </row>
    <row r="1623" spans="1:6" x14ac:dyDescent="0.4">
      <c r="A1623" s="4">
        <v>1418.5534250000001</v>
      </c>
      <c r="B1623" s="4">
        <v>1.0764712999999999</v>
      </c>
      <c r="C1623" s="4">
        <v>1.1105864000000001</v>
      </c>
      <c r="D1623" s="4">
        <v>-29.115383999999999</v>
      </c>
      <c r="E1623" s="4">
        <f>((-36.0415692/(10/9))+-10.5)+-0.4</f>
        <v>-43.337412279999995</v>
      </c>
      <c r="F1623" s="4">
        <f>((-0.74113435*(1.3/1.5))*0.6)-0.3</f>
        <v>-0.68538986200000007</v>
      </c>
    </row>
    <row r="1624" spans="1:6" x14ac:dyDescent="0.4">
      <c r="A1624" s="4">
        <v>1419.4283500000001</v>
      </c>
      <c r="B1624" s="4">
        <v>1.0767701000000001</v>
      </c>
      <c r="C1624" s="4">
        <v>1.1109765</v>
      </c>
      <c r="D1624" s="4">
        <v>-29.115065999999999</v>
      </c>
      <c r="E1624" s="4">
        <f>((-36.0482301/(10/9))+-10.5)+-0.4</f>
        <v>-43.343407089999992</v>
      </c>
      <c r="F1624" s="4">
        <f>((-0.74161267*(1.3/1.5))*0.6)-0.3</f>
        <v>-0.68563858840000003</v>
      </c>
    </row>
    <row r="1625" spans="1:6" x14ac:dyDescent="0.4">
      <c r="A1625" s="4">
        <v>1420.303275</v>
      </c>
      <c r="B1625" s="4">
        <v>1.0769127999999999</v>
      </c>
      <c r="C1625" s="4">
        <v>1.111051</v>
      </c>
      <c r="D1625" s="4">
        <v>-29.114508999999998</v>
      </c>
      <c r="E1625" s="4">
        <f>((-36.0195246/(10/9))+-10.5)+-0.4</f>
        <v>-43.317572139999996</v>
      </c>
      <c r="F1625" s="4">
        <f>((-0.74214274*(1.3/1.5))*0.6)-0.3</f>
        <v>-0.68591422480000008</v>
      </c>
    </row>
    <row r="1626" spans="1:6" x14ac:dyDescent="0.4">
      <c r="A1626" s="4">
        <v>1421.1782000000001</v>
      </c>
      <c r="B1626" s="4">
        <v>1.0767045</v>
      </c>
      <c r="C1626" s="4">
        <v>1.1112899999999999</v>
      </c>
      <c r="D1626" s="4">
        <v>-29.114176999999998</v>
      </c>
      <c r="E1626" s="4">
        <f>((-36.0189/(10/9))+-10.5)+-0.4</f>
        <v>-43.317009999999996</v>
      </c>
      <c r="F1626" s="4">
        <f>((-0.74262124*(1.3/1.5))*0.6)-0.3</f>
        <v>-0.68616304480000001</v>
      </c>
    </row>
    <row r="1627" spans="1:6" x14ac:dyDescent="0.4">
      <c r="A1627" s="4">
        <v>1422.0531249999999</v>
      </c>
      <c r="B1627" s="4">
        <v>1.0771725000000001</v>
      </c>
      <c r="C1627" s="4">
        <v>1.1112732999999999</v>
      </c>
      <c r="D1627" s="4">
        <v>-29.113834000000001</v>
      </c>
      <c r="E1627" s="4">
        <f>((-35.9496927/(10/9))+-10.5)+-0.4</f>
        <v>-43.254723429999999</v>
      </c>
      <c r="F1627" s="4">
        <f>((-0.74315417*(1.3/1.5))*0.6)-0.3</f>
        <v>-0.68644016839999999</v>
      </c>
    </row>
    <row r="1628" spans="1:6" x14ac:dyDescent="0.4">
      <c r="A1628" s="4">
        <v>1422.92805</v>
      </c>
      <c r="B1628" s="4">
        <v>1.0771717000000001</v>
      </c>
      <c r="C1628" s="4">
        <v>1.1116265000000001</v>
      </c>
      <c r="D1628" s="4">
        <v>-29.113550999999998</v>
      </c>
      <c r="E1628" s="4">
        <f>((-35.9427438/(10/9))+-10.5)+-0.4</f>
        <v>-43.248469419999999</v>
      </c>
      <c r="F1628" s="4">
        <f>((-0.74372834*(1.3/1.5))*0.6)-0.3</f>
        <v>-0.68673873679999997</v>
      </c>
    </row>
    <row r="1629" spans="1:6" x14ac:dyDescent="0.4">
      <c r="A1629" s="4">
        <v>1423.8029750000001</v>
      </c>
      <c r="B1629" s="4">
        <v>1.0773957999999999</v>
      </c>
      <c r="C1629" s="4">
        <v>1.1118927000000001</v>
      </c>
      <c r="D1629" s="4">
        <v>-29.112742999999998</v>
      </c>
      <c r="E1629" s="4">
        <f>((-35.9544276/(10/9))+-10.5)+-0.4</f>
        <v>-43.258984839999997</v>
      </c>
      <c r="F1629" s="4">
        <f>((-0.74426681*(1.3/1.5))*0.6)-0.3</f>
        <v>-0.68701874119999995</v>
      </c>
    </row>
    <row r="1630" spans="1:6" x14ac:dyDescent="0.4">
      <c r="A1630" s="4">
        <v>1424.6778999999999</v>
      </c>
      <c r="B1630" s="4">
        <v>1.0773964</v>
      </c>
      <c r="C1630" s="4">
        <v>1.1117904000000001</v>
      </c>
      <c r="D1630" s="4">
        <v>-29.112230999999998</v>
      </c>
      <c r="E1630" s="4">
        <f>((-36.0046521/(10/9))+-10.5)+-0.4</f>
        <v>-43.304186889999997</v>
      </c>
      <c r="F1630" s="4">
        <f>((-0.74482095*(1.3/1.5))*0.6)-0.3</f>
        <v>-0.687306894</v>
      </c>
    </row>
    <row r="1631" spans="1:6" x14ac:dyDescent="0.4">
      <c r="A1631" s="4">
        <v>1425.552825</v>
      </c>
      <c r="B1631" s="4">
        <v>1.0775110999999999</v>
      </c>
      <c r="C1631" s="4">
        <v>1.1118897000000001</v>
      </c>
      <c r="D1631" s="4">
        <v>-29.111411</v>
      </c>
      <c r="E1631" s="4">
        <f>((-35.9649846/(10/9))+-10.5)+-0.4</f>
        <v>-43.26848614</v>
      </c>
      <c r="F1631" s="4">
        <f>((-0.74535894*(1.3/1.5))*0.6)-0.3</f>
        <v>-0.68758664879999998</v>
      </c>
    </row>
    <row r="1632" spans="1:6" x14ac:dyDescent="0.4">
      <c r="A1632" s="4">
        <v>1426.4277500000001</v>
      </c>
      <c r="B1632" s="4">
        <v>1.0778095999999999</v>
      </c>
      <c r="C1632" s="4">
        <v>1.1121083</v>
      </c>
      <c r="D1632" s="4">
        <v>-29.110816</v>
      </c>
      <c r="E1632" s="4">
        <f>((-35.9746218/(10/9))+-10.5)+-0.4</f>
        <v>-43.277159619999999</v>
      </c>
      <c r="F1632" s="4">
        <f>((-0.74587023*(1.3/1.5))*0.6)-0.3</f>
        <v>-0.68785251960000005</v>
      </c>
    </row>
    <row r="1633" spans="1:6" x14ac:dyDescent="0.4">
      <c r="A1633" s="4">
        <v>1427.3026750000001</v>
      </c>
      <c r="B1633" s="4">
        <v>1.0779053000000001</v>
      </c>
      <c r="C1633" s="4">
        <v>1.1122173</v>
      </c>
      <c r="D1633" s="4">
        <v>-29.110547</v>
      </c>
      <c r="E1633" s="4">
        <f>((-35.9405055/(10/9))+-10.5)+-0.4</f>
        <v>-43.24645495</v>
      </c>
      <c r="F1633" s="4">
        <f>((-0.74625641*(1.3/1.5))*0.6)-0.3</f>
        <v>-0.68805333319999995</v>
      </c>
    </row>
    <row r="1634" spans="1:6" x14ac:dyDescent="0.4">
      <c r="A1634" s="4">
        <v>1428.1776</v>
      </c>
      <c r="B1634" s="4">
        <v>1.0780033</v>
      </c>
      <c r="C1634" s="4">
        <v>1.1124890000000001</v>
      </c>
      <c r="D1634" s="4">
        <v>-29.110198</v>
      </c>
      <c r="E1634" s="4">
        <f>((-36.0000855/(10/9))+-10.5)+-0.4</f>
        <v>-43.300076949999998</v>
      </c>
      <c r="F1634" s="4">
        <f>((-0.74668193*(1.3/1.5))*0.6)-0.3</f>
        <v>-0.68827460360000003</v>
      </c>
    </row>
    <row r="1635" spans="1:6" x14ac:dyDescent="0.4">
      <c r="A1635" s="4">
        <v>1429.0525249999998</v>
      </c>
      <c r="B1635" s="4">
        <v>1.0781940999999999</v>
      </c>
      <c r="C1635" s="4">
        <v>1.1125765000000001</v>
      </c>
      <c r="D1635" s="4">
        <v>-29.109739999999999</v>
      </c>
      <c r="E1635" s="4">
        <f>((-35.9502804/(10/9))+-10.5)+-0.4</f>
        <v>-43.255252359999993</v>
      </c>
      <c r="F1635" s="4">
        <f>((-0.74712932*(1.3/1.5))*0.6)-0.3</f>
        <v>-0.68850724639999994</v>
      </c>
    </row>
    <row r="1636" spans="1:6" x14ac:dyDescent="0.4">
      <c r="A1636" s="4">
        <v>1429.9274499999999</v>
      </c>
      <c r="B1636" s="4">
        <v>1.0784278</v>
      </c>
      <c r="C1636" s="4">
        <v>1.1126757</v>
      </c>
      <c r="D1636" s="4">
        <v>-29.109234999999998</v>
      </c>
      <c r="E1636" s="4">
        <f>((-35.9412435/(10/9))+-10.5)+-0.4</f>
        <v>-43.247119149999996</v>
      </c>
      <c r="F1636" s="4">
        <f>((-0.74757594*(1.3/1.5))*0.6)-0.3</f>
        <v>-0.68873948880000002</v>
      </c>
    </row>
    <row r="1637" spans="1:6" x14ac:dyDescent="0.4">
      <c r="A1637" s="4">
        <v>1430.802375</v>
      </c>
      <c r="B1637" s="4">
        <v>1.0784909</v>
      </c>
      <c r="C1637" s="4">
        <v>1.1129804999999999</v>
      </c>
      <c r="D1637" s="4">
        <v>-29.108774999999998</v>
      </c>
      <c r="E1637" s="4">
        <f>((-35.9676864/(10/9))+-10.5)+-0.4</f>
        <v>-43.270917759999996</v>
      </c>
      <c r="F1637" s="4">
        <f>((-0.74799168*(1.3/1.5))*0.6)-0.3</f>
        <v>-0.68895567359999998</v>
      </c>
    </row>
    <row r="1638" spans="1:6" x14ac:dyDescent="0.4">
      <c r="A1638" s="4">
        <v>1431.6773000000001</v>
      </c>
      <c r="B1638" s="4">
        <v>1.0784454000000001</v>
      </c>
      <c r="C1638" s="4">
        <v>1.1129188999999999</v>
      </c>
      <c r="D1638" s="4">
        <v>-29.108180000000001</v>
      </c>
      <c r="E1638" s="4">
        <f>((-35.9552826/(10/9))+-10.5)+-0.4</f>
        <v>-43.259754339999994</v>
      </c>
      <c r="F1638" s="4">
        <f>((-0.74841297*(1.3/1.5))*0.6)-0.3</f>
        <v>-0.68917474439999993</v>
      </c>
    </row>
    <row r="1639" spans="1:6" x14ac:dyDescent="0.4">
      <c r="A1639" s="4">
        <v>1432.5522250000001</v>
      </c>
      <c r="B1639" s="4">
        <v>1.0786476</v>
      </c>
      <c r="C1639" s="4">
        <v>1.1132964999999999</v>
      </c>
      <c r="D1639" s="4">
        <v>-29.107637</v>
      </c>
      <c r="E1639" s="4">
        <f>((-35.9229618/(10/9))+-10.5)+-0.4</f>
        <v>-43.230665619999996</v>
      </c>
      <c r="F1639" s="4">
        <f>((-0.74883711*(1.3/1.5))*0.6)-0.3</f>
        <v>-0.68939529719999992</v>
      </c>
    </row>
    <row r="1640" spans="1:6" x14ac:dyDescent="0.4">
      <c r="A1640" s="4">
        <v>1433.42715</v>
      </c>
      <c r="B1640" s="4">
        <v>1.0789403</v>
      </c>
      <c r="C1640" s="4">
        <v>1.1133687000000001</v>
      </c>
      <c r="D1640" s="4">
        <v>-29.106998000000001</v>
      </c>
      <c r="E1640" s="4">
        <f>((-35.925777/(10/9))+-10.5)+-0.4</f>
        <v>-43.233199299999995</v>
      </c>
      <c r="F1640" s="4">
        <f>((-0.74930543*(1.3/1.5))*0.6)-0.3</f>
        <v>-0.68963882359999995</v>
      </c>
    </row>
    <row r="1641" spans="1:6" x14ac:dyDescent="0.4">
      <c r="A1641" s="4">
        <v>1434.3020750000001</v>
      </c>
      <c r="B1641" s="4">
        <v>1.079048</v>
      </c>
      <c r="C1641" s="4">
        <v>1.1135527000000001</v>
      </c>
      <c r="D1641" s="4">
        <v>-29.106559000000001</v>
      </c>
      <c r="E1641" s="4">
        <f>((-35.9387271/(10/9))+-10.5)+-0.4</f>
        <v>-43.24485439</v>
      </c>
      <c r="F1641" s="4">
        <f>((-0.74970752*(1.3/1.5))*0.6)-0.3</f>
        <v>-0.68984791039999993</v>
      </c>
    </row>
    <row r="1642" spans="1:6" x14ac:dyDescent="0.4">
      <c r="A1642" s="4">
        <v>1435.1769999999999</v>
      </c>
      <c r="B1642" s="4">
        <v>1.0791161</v>
      </c>
      <c r="C1642" s="4">
        <v>1.1137265999999999</v>
      </c>
      <c r="D1642" s="4">
        <v>-29.105612999999998</v>
      </c>
      <c r="E1642" s="4">
        <f>((-35.9091297/(10/9))+-10.5)+-0.4</f>
        <v>-43.218216729999995</v>
      </c>
      <c r="F1642" s="4">
        <f>((-0.7501266*(1.3/1.5))*0.6)-0.3</f>
        <v>-0.69006583199999993</v>
      </c>
    </row>
    <row r="1643" spans="1:6" x14ac:dyDescent="0.4">
      <c r="A1643" s="4">
        <v>1436.051925</v>
      </c>
      <c r="B1643" s="4">
        <v>1.0791204999999999</v>
      </c>
      <c r="C1643" s="4">
        <v>1.1136438</v>
      </c>
      <c r="D1643" s="4">
        <v>-29.105112999999999</v>
      </c>
      <c r="E1643" s="4">
        <f>((-35.8885989/(10/9))+-10.5)+-0.4</f>
        <v>-43.199739009999995</v>
      </c>
      <c r="F1643" s="4">
        <f>((-0.75051707*(1.3/1.5))*0.6)-0.3</f>
        <v>-0.69026887640000001</v>
      </c>
    </row>
    <row r="1644" spans="1:6" x14ac:dyDescent="0.4">
      <c r="A1644" s="4">
        <v>1436.9268500000001</v>
      </c>
      <c r="B1644" s="4">
        <v>1.0794087999999999</v>
      </c>
      <c r="C1644" s="4">
        <v>1.1137079999999999</v>
      </c>
      <c r="D1644" s="4">
        <v>-29.104520000000001</v>
      </c>
      <c r="E1644" s="4">
        <f>((-35.8732521/(10/9))+-10.5)+-0.4</f>
        <v>-43.185926889999998</v>
      </c>
      <c r="F1644" s="4">
        <f>((-0.75095057*(1.3/1.5))*0.6)-0.3</f>
        <v>-0.69049429640000004</v>
      </c>
    </row>
    <row r="1645" spans="1:6" x14ac:dyDescent="0.4">
      <c r="A1645" s="4">
        <v>1437.8017749999999</v>
      </c>
      <c r="B1645" s="4">
        <v>1.0795512</v>
      </c>
      <c r="C1645" s="4">
        <v>1.1139543000000001</v>
      </c>
      <c r="D1645" s="4">
        <v>-29.103840999999999</v>
      </c>
      <c r="E1645" s="4">
        <f>((-35.8631964/(10/9))+-10.5)+-0.4</f>
        <v>-43.176876759999999</v>
      </c>
      <c r="F1645" s="4">
        <f>((-0.75137281*(1.3/1.5))*0.6)-0.3</f>
        <v>-0.6907138612</v>
      </c>
    </row>
    <row r="1646" spans="1:6" x14ac:dyDescent="0.4">
      <c r="A1646" s="4">
        <v>1438.6767</v>
      </c>
      <c r="B1646" s="4">
        <v>1.0796123</v>
      </c>
      <c r="C1646" s="4">
        <v>1.1141816</v>
      </c>
      <c r="D1646" s="4">
        <v>-29.103278</v>
      </c>
      <c r="E1646" s="4">
        <f>((-35.9532837/(10/9))+-10.5)+-0.4</f>
        <v>-43.257955329999994</v>
      </c>
      <c r="F1646" s="4">
        <f>((-0.75181425*(1.3/1.5))*0.6)-0.3</f>
        <v>-0.69094341000000004</v>
      </c>
    </row>
    <row r="1647" spans="1:6" x14ac:dyDescent="0.4">
      <c r="A1647" s="4">
        <v>1439.5516250000001</v>
      </c>
      <c r="B1647" s="4">
        <v>1.0799302</v>
      </c>
      <c r="C1647" s="4">
        <v>1.1142502000000001</v>
      </c>
      <c r="D1647" s="4">
        <v>-29.103296</v>
      </c>
      <c r="E1647" s="4">
        <f>((-35.8924851/(10/9))+-10.5)+-0.4</f>
        <v>-43.203236589999996</v>
      </c>
      <c r="F1647" s="4">
        <f>((-0.75222397*(1.3/1.5))*0.6)-0.3</f>
        <v>-0.69115646439999989</v>
      </c>
    </row>
    <row r="1648" spans="1:6" x14ac:dyDescent="0.4">
      <c r="A1648" s="4">
        <v>1440.4265500000001</v>
      </c>
      <c r="B1648" s="4">
        <v>1.0798044</v>
      </c>
      <c r="C1648" s="4">
        <v>1.1144989000000001</v>
      </c>
      <c r="D1648" s="4">
        <v>-29.102975000000001</v>
      </c>
      <c r="E1648" s="4">
        <f>((-35.9312085/(10/9))+-10.5)+-0.4</f>
        <v>-43.238087649999997</v>
      </c>
      <c r="F1648" s="4">
        <f>((-0.75261819*(1.3/1.5))*0.6)-0.3</f>
        <v>-0.69136145879999999</v>
      </c>
    </row>
    <row r="1649" spans="1:6" x14ac:dyDescent="0.4">
      <c r="A1649" s="4">
        <v>1441.301475</v>
      </c>
      <c r="B1649" s="4">
        <v>1.0798179000000001</v>
      </c>
      <c r="C1649" s="4">
        <v>1.1145593</v>
      </c>
      <c r="D1649" s="4">
        <v>-29.102224</v>
      </c>
      <c r="E1649" s="4">
        <f>((-35.8521552/(10/9))+-10.5)+-0.4</f>
        <v>-43.166939679999999</v>
      </c>
      <c r="F1649" s="4">
        <f>((-0.75301284*(1.3/1.5))*0.6)-0.3</f>
        <v>-0.69156667679999995</v>
      </c>
    </row>
    <row r="1650" spans="1:6" x14ac:dyDescent="0.4">
      <c r="A1650" s="4">
        <v>1442.1763999999998</v>
      </c>
      <c r="B1650" s="4">
        <v>1.0800700999999999</v>
      </c>
      <c r="C1650" s="4">
        <v>1.1145482</v>
      </c>
      <c r="D1650" s="4">
        <v>-29.101542999999999</v>
      </c>
      <c r="E1650" s="4">
        <f>((-35.8682292/(10/9))+-10.5)+-0.4</f>
        <v>-43.181406279999997</v>
      </c>
      <c r="F1650" s="4">
        <f>((-0.753353*(1.3/1.5))*0.6)-0.3</f>
        <v>-0.69174355999999992</v>
      </c>
    </row>
    <row r="1651" spans="1:6" x14ac:dyDescent="0.4">
      <c r="A1651" s="4">
        <v>1443.0513249999999</v>
      </c>
      <c r="B1651" s="4">
        <v>1.0803647000000001</v>
      </c>
      <c r="C1651" s="4">
        <v>1.1148769999999999</v>
      </c>
      <c r="D1651" s="4">
        <v>-29.100883</v>
      </c>
      <c r="E1651" s="4">
        <f>((-35.9130258/(10/9))+-10.5)+-0.4</f>
        <v>-43.221723219999994</v>
      </c>
      <c r="F1651" s="4">
        <f>((-0.75375271*(1.3/1.5))*0.6)-0.3</f>
        <v>-0.69195140919999998</v>
      </c>
    </row>
    <row r="1652" spans="1:6" x14ac:dyDescent="0.4">
      <c r="A1652" s="4">
        <v>1443.92625</v>
      </c>
      <c r="B1652" s="4">
        <v>1.0802020999999999</v>
      </c>
      <c r="C1652" s="4">
        <v>1.1148336999999999</v>
      </c>
      <c r="D1652" s="4">
        <v>-29.100406</v>
      </c>
      <c r="E1652" s="4">
        <f>((-35.8876026/(10/9))+-10.5)+-0.4</f>
        <v>-43.198842339999999</v>
      </c>
      <c r="F1652" s="4">
        <f>((-0.75414479*(1.3/1.5))*0.6)-0.3</f>
        <v>-0.69215529079999993</v>
      </c>
    </row>
    <row r="1653" spans="1:6" x14ac:dyDescent="0.4">
      <c r="A1653" s="4">
        <v>1444.8011750000001</v>
      </c>
      <c r="B1653" s="4">
        <v>1.0805168999999999</v>
      </c>
      <c r="C1653" s="4">
        <v>1.1151112000000001</v>
      </c>
      <c r="D1653" s="4">
        <v>-29.099768999999998</v>
      </c>
      <c r="E1653" s="4">
        <f>((-35.8852482/(10/9))+-10.5)+-0.4</f>
        <v>-43.196723379999995</v>
      </c>
      <c r="F1653" s="4">
        <f>((-0.7545439*(1.3/1.5))*0.6)-0.3</f>
        <v>-0.69236282800000004</v>
      </c>
    </row>
    <row r="1654" spans="1:6" x14ac:dyDescent="0.4">
      <c r="A1654" s="4">
        <v>1445.6761000000001</v>
      </c>
      <c r="B1654" s="4">
        <v>1.0807861999999999</v>
      </c>
      <c r="C1654" s="4">
        <v>1.1152974</v>
      </c>
      <c r="D1654" s="4">
        <v>-29.099886999999999</v>
      </c>
      <c r="E1654" s="4">
        <f>((-35.8610706/(10/9))+-10.5)+-0.4</f>
        <v>-43.174963539999993</v>
      </c>
      <c r="F1654" s="4">
        <f>((-0.75492376*(1.3/1.5))*0.6)-0.3</f>
        <v>-0.69256035519999992</v>
      </c>
    </row>
    <row r="1655" spans="1:6" x14ac:dyDescent="0.4">
      <c r="A1655" s="4">
        <v>1446.551025</v>
      </c>
      <c r="B1655" s="4">
        <v>1.0809213</v>
      </c>
      <c r="C1655" s="4">
        <v>1.1154634999999999</v>
      </c>
      <c r="D1655" s="4">
        <v>-29.099661999999999</v>
      </c>
      <c r="E1655" s="4">
        <f>((-35.8304742/(10/9))+-10.5)+-0.4</f>
        <v>-43.147426779999996</v>
      </c>
      <c r="F1655" s="4">
        <f>((-0.75528854*(1.3/1.5))*0.6)-0.3</f>
        <v>-0.69275004080000002</v>
      </c>
    </row>
    <row r="1656" spans="1:6" x14ac:dyDescent="0.4">
      <c r="A1656" s="4">
        <v>1447.4259500000001</v>
      </c>
      <c r="B1656" s="4">
        <v>1.0810143000000001</v>
      </c>
      <c r="C1656" s="4">
        <v>1.1155318000000001</v>
      </c>
      <c r="D1656" s="4">
        <v>-29.099287999999998</v>
      </c>
      <c r="E1656" s="4">
        <f>((-35.8671474/(10/9))+-10.5)+-0.4</f>
        <v>-43.180432659999994</v>
      </c>
      <c r="F1656" s="4">
        <f>((-0.75566262*(1.3/1.5))*0.6)-0.3</f>
        <v>-0.69294456240000002</v>
      </c>
    </row>
    <row r="1657" spans="1:6" x14ac:dyDescent="0.4">
      <c r="A1657" s="4">
        <v>1448.3008749999999</v>
      </c>
      <c r="B1657" s="4">
        <v>1.0811012</v>
      </c>
      <c r="C1657" s="4">
        <v>1.1157992000000001</v>
      </c>
      <c r="D1657" s="4">
        <v>-29.098523</v>
      </c>
      <c r="E1657" s="4">
        <f>((-35.8466481/(10/9))+-10.5)+-0.4</f>
        <v>-43.161983290000002</v>
      </c>
      <c r="F1657" s="4">
        <f>((-0.75603729*(1.3/1.5))*0.6)-0.3</f>
        <v>-0.69313939079999998</v>
      </c>
    </row>
    <row r="1658" spans="1:6" x14ac:dyDescent="0.4">
      <c r="A1658" s="4">
        <v>1449.1758</v>
      </c>
      <c r="B1658" s="4">
        <v>1.0811244</v>
      </c>
      <c r="C1658" s="4">
        <v>1.1156906</v>
      </c>
      <c r="D1658" s="4">
        <v>-29.098210999999999</v>
      </c>
      <c r="E1658" s="4">
        <f>((-35.8487973/(10/9))+-10.5)+-0.4</f>
        <v>-43.163917569999995</v>
      </c>
      <c r="F1658" s="4">
        <f>((-0.7564137*(1.3/1.5))*0.6)-0.3</f>
        <v>-0.69333512399999997</v>
      </c>
    </row>
    <row r="1659" spans="1:6" x14ac:dyDescent="0.4">
      <c r="A1659" s="4">
        <v>1450.0507250000001</v>
      </c>
      <c r="B1659" s="4">
        <v>1.0813904000000001</v>
      </c>
      <c r="C1659" s="4">
        <v>1.1160036</v>
      </c>
      <c r="D1659" s="4">
        <v>-29.097579</v>
      </c>
      <c r="E1659" s="4">
        <f>((-35.8274871/(10/9))+-10.5)+-0.4</f>
        <v>-43.144738389999993</v>
      </c>
      <c r="F1659" s="4">
        <f>((-0.75676149*(1.3/1.5))*0.6)-0.3</f>
        <v>-0.69351597480000005</v>
      </c>
    </row>
    <row r="1660" spans="1:6" x14ac:dyDescent="0.4">
      <c r="A1660" s="4">
        <v>1450.9256499999999</v>
      </c>
      <c r="B1660" s="4">
        <v>1.0814368999999999</v>
      </c>
      <c r="C1660" s="4">
        <v>1.1160338999999999</v>
      </c>
      <c r="D1660" s="4">
        <v>-29.097231999999998</v>
      </c>
      <c r="E1660" s="4">
        <f>((-35.8437816/(10/9))+-10.5)+-0.4</f>
        <v>-43.159403439999998</v>
      </c>
      <c r="F1660" s="4">
        <f>((-0.75710392*(1.3/1.5))*0.6)-0.3</f>
        <v>-0.69369403839999999</v>
      </c>
    </row>
    <row r="1661" spans="1:6" x14ac:dyDescent="0.4">
      <c r="A1661" s="4">
        <v>1451.800575</v>
      </c>
      <c r="B1661" s="4">
        <v>1.0814554999999999</v>
      </c>
      <c r="C1661" s="4">
        <v>1.1161239000000001</v>
      </c>
      <c r="D1661" s="4">
        <v>-29.096276</v>
      </c>
      <c r="E1661" s="4">
        <f>((-35.8375914/(10/9))+-10.5)+-0.4</f>
        <v>-43.153832259999994</v>
      </c>
      <c r="F1661" s="4">
        <f>((-0.7574653*(1.3/1.5))*0.6)-0.3</f>
        <v>-0.69388195600000002</v>
      </c>
    </row>
    <row r="1662" spans="1:6" x14ac:dyDescent="0.4">
      <c r="A1662" s="4">
        <v>1452.6755000000001</v>
      </c>
      <c r="B1662" s="4">
        <v>1.0815847000000001</v>
      </c>
      <c r="C1662" s="4">
        <v>1.1163231</v>
      </c>
      <c r="D1662" s="4">
        <v>-29.095801999999999</v>
      </c>
      <c r="E1662" s="4">
        <f>((-35.8421715/(10/9))+-10.5)+-0.4</f>
        <v>-43.157954349999997</v>
      </c>
      <c r="F1662" s="4">
        <f>((-0.75781739*(1.3/1.5))*0.6)-0.3</f>
        <v>-0.69406504279999992</v>
      </c>
    </row>
    <row r="1663" spans="1:6" x14ac:dyDescent="0.4">
      <c r="A1663" s="4">
        <v>1453.5504250000001</v>
      </c>
      <c r="B1663" s="4">
        <v>1.0816456000000001</v>
      </c>
      <c r="C1663" s="4">
        <v>1.1163322</v>
      </c>
      <c r="D1663" s="4">
        <v>-29.095378</v>
      </c>
      <c r="E1663" s="4">
        <f>((-35.8095177/(10/9))+-10.5)+-0.4</f>
        <v>-43.128565930000001</v>
      </c>
      <c r="F1663" s="4">
        <f>((-0.75816512*(1.3/1.5))*0.6)-0.3</f>
        <v>-0.69424586240000008</v>
      </c>
    </row>
    <row r="1664" spans="1:6" x14ac:dyDescent="0.4">
      <c r="A1664" s="4">
        <v>1454.42535</v>
      </c>
      <c r="B1664" s="4">
        <v>1.0819395000000001</v>
      </c>
      <c r="C1664" s="4">
        <v>1.1168224</v>
      </c>
      <c r="D1664" s="4">
        <v>-29.094949</v>
      </c>
      <c r="E1664" s="4">
        <f>((-35.8355277/(10/9))+-10.5)+-0.4</f>
        <v>-43.151974929999994</v>
      </c>
      <c r="F1664" s="4">
        <f>((-0.75850439*(1.3/1.5))*0.6)-0.3</f>
        <v>-0.69442228279999996</v>
      </c>
    </row>
    <row r="1665" spans="1:6" x14ac:dyDescent="0.4">
      <c r="A1665" s="4">
        <v>1455.3002749999998</v>
      </c>
      <c r="B1665" s="4">
        <v>1.0821254</v>
      </c>
      <c r="C1665" s="4">
        <v>1.1170065</v>
      </c>
      <c r="D1665" s="4">
        <v>-29.094387999999999</v>
      </c>
      <c r="E1665" s="4">
        <f>((-35.7859962/(10/9))+-10.5)+-0.4</f>
        <v>-43.10739658</v>
      </c>
      <c r="F1665" s="4">
        <f>((-0.7587949*(1.3/1.5))*0.6)-0.3</f>
        <v>-0.69457334800000003</v>
      </c>
    </row>
    <row r="1666" spans="1:6" x14ac:dyDescent="0.4">
      <c r="A1666" s="4">
        <v>1456.1751999999999</v>
      </c>
      <c r="B1666" s="4">
        <v>1.0821753000000001</v>
      </c>
      <c r="C1666" s="4">
        <v>1.1171861999999999</v>
      </c>
      <c r="D1666" s="4">
        <v>-29.094541</v>
      </c>
      <c r="E1666" s="4">
        <f>((-35.8198479/(10/9))+-10.5)+-0.4</f>
        <v>-43.137863109999998</v>
      </c>
      <c r="F1666" s="4">
        <f>((-0.75913978*(1.3/1.5))*0.6)-0.3</f>
        <v>-0.69475268559999992</v>
      </c>
    </row>
    <row r="1667" spans="1:6" x14ac:dyDescent="0.4">
      <c r="A1667" s="4">
        <v>1457.050125</v>
      </c>
      <c r="B1667" s="4">
        <v>1.0825189</v>
      </c>
      <c r="C1667" s="4">
        <v>1.1172693</v>
      </c>
      <c r="D1667" s="4">
        <v>-29.093990999999999</v>
      </c>
      <c r="E1667" s="4">
        <f>((-35.782038/(10/9))+-10.5)+-0.4</f>
        <v>-43.103834199999994</v>
      </c>
      <c r="F1667" s="4">
        <f>((-0.75944054*(1.3/1.5))*0.6)-0.3</f>
        <v>-0.69490908080000002</v>
      </c>
    </row>
    <row r="1668" spans="1:6" x14ac:dyDescent="0.4">
      <c r="A1668" s="4">
        <v>1457.9250500000001</v>
      </c>
      <c r="B1668" s="4">
        <v>1.0826081999999999</v>
      </c>
      <c r="C1668" s="4">
        <v>1.1174415</v>
      </c>
      <c r="D1668" s="4">
        <v>-29.093415</v>
      </c>
      <c r="E1668" s="4">
        <f>((-35.7653358/(10/9))+-10.5)+-0.4</f>
        <v>-43.088802219999998</v>
      </c>
      <c r="F1668" s="4">
        <f>((-0.75975615*(1.3/1.5))*0.6)-0.3</f>
        <v>-0.695073198</v>
      </c>
    </row>
    <row r="1669" spans="1:6" x14ac:dyDescent="0.4">
      <c r="A1669" s="4">
        <v>1458.7999750000001</v>
      </c>
      <c r="B1669" s="4">
        <v>1.0826015</v>
      </c>
      <c r="C1669" s="4">
        <v>1.1175710999999999</v>
      </c>
      <c r="D1669" s="4">
        <v>-29.09328</v>
      </c>
      <c r="E1669" s="4">
        <f>((-35.7629904/(10/9))+-10.5)+-0.4</f>
        <v>-43.086691359999996</v>
      </c>
      <c r="F1669" s="4">
        <f>((-0.76010054*(1.3/1.5))*0.6)-0.3</f>
        <v>-0.69525228080000001</v>
      </c>
    </row>
    <row r="1670" spans="1:6" x14ac:dyDescent="0.4">
      <c r="A1670" s="4">
        <v>1459.6749</v>
      </c>
      <c r="B1670" s="4">
        <v>1.0826808000000001</v>
      </c>
      <c r="C1670" s="4">
        <v>1.1175231999999999</v>
      </c>
      <c r="D1670" s="4">
        <v>-29.093211</v>
      </c>
      <c r="E1670" s="4">
        <f>((-35.7877404/(10/9))+-10.5)+-0.4</f>
        <v>-43.108966359999997</v>
      </c>
      <c r="F1670" s="4">
        <f>((-0.76048213*(1.3/1.5))*0.6)-0.3</f>
        <v>-0.69545070760000005</v>
      </c>
    </row>
    <row r="1671" spans="1:6" x14ac:dyDescent="0.4">
      <c r="A1671" s="4">
        <v>1460.5498250000001</v>
      </c>
      <c r="B1671" s="4">
        <v>1.0827259</v>
      </c>
      <c r="C1671" s="4">
        <v>1.1177831</v>
      </c>
      <c r="D1671" s="4">
        <v>-29.093119999999999</v>
      </c>
      <c r="E1671" s="4">
        <f>((-35.722485/(10/9))+-10.5)+-0.4</f>
        <v>-43.050236499999997</v>
      </c>
      <c r="F1671" s="4">
        <f>((-0.76083094*(1.3/1.5))*0.6)-0.3</f>
        <v>-0.69563208879999994</v>
      </c>
    </row>
    <row r="1672" spans="1:6" x14ac:dyDescent="0.4">
      <c r="A1672" s="4">
        <v>1461.4247499999999</v>
      </c>
      <c r="B1672" s="4">
        <v>1.0826941999999999</v>
      </c>
      <c r="C1672" s="4">
        <v>1.1178193999999999</v>
      </c>
      <c r="D1672" s="4">
        <v>-29.092919999999999</v>
      </c>
      <c r="E1672" s="4">
        <f>((-35.7333174/(10/9))+-10.5)+-0.4</f>
        <v>-43.059985659999995</v>
      </c>
      <c r="F1672" s="4">
        <f>((-0.76111442*(1.3/1.5))*0.6)-0.3</f>
        <v>-0.69577949839999997</v>
      </c>
    </row>
    <row r="1673" spans="1:6" x14ac:dyDescent="0.4">
      <c r="A1673" s="4">
        <v>1462.299675</v>
      </c>
      <c r="B1673" s="4">
        <v>1.0829844</v>
      </c>
      <c r="C1673" s="4">
        <v>1.1179372000000001</v>
      </c>
      <c r="D1673" s="4">
        <v>-29.092510999999998</v>
      </c>
      <c r="E1673" s="4">
        <f>((-35.7648516/(10/9))+-10.5)+-0.4</f>
        <v>-43.088366439999994</v>
      </c>
      <c r="F1673" s="4">
        <f>((-0.76142389*(1.3/1.5))*0.6)-0.3</f>
        <v>-0.69594042280000001</v>
      </c>
    </row>
    <row r="1674" spans="1:6" x14ac:dyDescent="0.4">
      <c r="A1674" s="4">
        <v>1463.1746000000001</v>
      </c>
      <c r="B1674" s="4">
        <v>1.0831271</v>
      </c>
      <c r="C1674" s="4">
        <v>1.118096</v>
      </c>
      <c r="D1674" s="4">
        <v>-29.091971999999998</v>
      </c>
      <c r="E1674" s="4">
        <f>((-35.7655788/(10/9))+-10.5)+-0.4</f>
        <v>-43.089020919999996</v>
      </c>
      <c r="F1674" s="4">
        <f>((-0.76178151*(1.3/1.5))*0.6)-0.3</f>
        <v>-0.69612638519999992</v>
      </c>
    </row>
    <row r="1675" spans="1:6" x14ac:dyDescent="0.4">
      <c r="A1675" s="4">
        <v>1464.0495249999999</v>
      </c>
      <c r="B1675" s="4">
        <v>1.0832991999999999</v>
      </c>
      <c r="C1675" s="4">
        <v>1.1184099000000001</v>
      </c>
      <c r="D1675" s="4">
        <v>-29.091857000000001</v>
      </c>
      <c r="E1675" s="4">
        <f>((-35.7637491/(10/9))+-10.5)+-0.4</f>
        <v>-43.087374189999998</v>
      </c>
      <c r="F1675" s="4">
        <f>((-0.76212549*(1.3/1.5))*0.6)-0.3</f>
        <v>-0.69630525479999994</v>
      </c>
    </row>
    <row r="1676" spans="1:6" x14ac:dyDescent="0.4">
      <c r="A1676" s="4">
        <v>1464.92445</v>
      </c>
      <c r="B1676" s="4">
        <v>1.0835321</v>
      </c>
      <c r="C1676" s="4">
        <v>1.1187258</v>
      </c>
      <c r="D1676" s="4">
        <v>-29.092182999999999</v>
      </c>
      <c r="E1676" s="4">
        <f>((-35.7393699/(10/9))+-10.5)+-0.4</f>
        <v>-43.065432909999998</v>
      </c>
      <c r="F1676" s="4">
        <f>((-0.7624703*(1.3/1.5))*0.6)-0.3</f>
        <v>-0.69648455600000003</v>
      </c>
    </row>
    <row r="1677" spans="1:6" x14ac:dyDescent="0.4">
      <c r="A1677" s="4">
        <v>1465.7993750000001</v>
      </c>
      <c r="B1677" s="4">
        <v>1.0835854</v>
      </c>
      <c r="C1677" s="4">
        <v>1.1188828</v>
      </c>
      <c r="D1677" s="4">
        <v>-29.091826999999999</v>
      </c>
      <c r="E1677" s="4">
        <f>((-35.7417351/(10/9))+-10.5)+-0.4</f>
        <v>-43.067561589999997</v>
      </c>
      <c r="F1677" s="4">
        <f>((-0.76273996*(1.3/1.5))*0.6)-0.3</f>
        <v>-0.69662477919999999</v>
      </c>
    </row>
    <row r="1678" spans="1:6" x14ac:dyDescent="0.4">
      <c r="A1678" s="4">
        <v>1466.6743000000001</v>
      </c>
      <c r="B1678" s="4">
        <v>1.0837726999999999</v>
      </c>
      <c r="C1678" s="4">
        <v>1.1189800999999999</v>
      </c>
      <c r="D1678" s="4">
        <v>-29.091450999999999</v>
      </c>
      <c r="E1678" s="4">
        <f>((-35.7611949/(10/9))+-10.5)+-0.4</f>
        <v>-43.085075409999995</v>
      </c>
      <c r="F1678" s="4">
        <f>((-0.76309288*(1.3/1.5))*0.6)-0.3</f>
        <v>-0.69680829760000007</v>
      </c>
    </row>
    <row r="1679" spans="1:6" x14ac:dyDescent="0.4">
      <c r="A1679" s="4">
        <v>1467.5492250000002</v>
      </c>
      <c r="B1679" s="4">
        <v>1.0837334000000001</v>
      </c>
      <c r="C1679" s="4">
        <v>1.1188364</v>
      </c>
      <c r="D1679" s="4">
        <v>-29.09131</v>
      </c>
      <c r="E1679" s="4">
        <f>((-35.6860242/(10/9))+-10.5)+-0.4</f>
        <v>-43.017421779999992</v>
      </c>
      <c r="F1679" s="4">
        <f>((-0.7634427*(1.3/1.5))*0.6)-0.3</f>
        <v>-0.696990204</v>
      </c>
    </row>
    <row r="1680" spans="1:6" x14ac:dyDescent="0.4">
      <c r="A1680" s="4">
        <v>1468.4241499999998</v>
      </c>
      <c r="B1680" s="4">
        <v>1.0838528000000001</v>
      </c>
      <c r="C1680" s="4">
        <v>1.1190206</v>
      </c>
      <c r="D1680" s="4">
        <v>-29.091170999999999</v>
      </c>
      <c r="E1680" s="4">
        <f>((-35.7087114/(10/9))+-10.5)+-0.4</f>
        <v>-43.037840259999996</v>
      </c>
      <c r="F1680" s="4">
        <f>((-0.76378137*(1.3/1.5))*0.6)-0.3</f>
        <v>-0.69716631240000004</v>
      </c>
    </row>
    <row r="1681" spans="1:6" x14ac:dyDescent="0.4">
      <c r="A1681" s="4">
        <v>1469.2990749999999</v>
      </c>
      <c r="B1681" s="4">
        <v>1.0841398</v>
      </c>
      <c r="C1681" s="4">
        <v>1.1193386000000001</v>
      </c>
      <c r="D1681" s="4">
        <v>-29.091054</v>
      </c>
      <c r="E1681" s="4">
        <f>((-35.7130269/(10/9))+-10.5)+-0.4</f>
        <v>-43.041724209999998</v>
      </c>
      <c r="F1681" s="4">
        <f>((-0.76409268*(1.3/1.5))*0.6)-0.3</f>
        <v>-0.69732819359999998</v>
      </c>
    </row>
    <row r="1682" spans="1:6" x14ac:dyDescent="0.4">
      <c r="A1682" s="4">
        <v>1470.174</v>
      </c>
      <c r="B1682" s="4">
        <v>1.0840093</v>
      </c>
      <c r="C1682" s="4">
        <v>1.1194122</v>
      </c>
      <c r="D1682" s="4">
        <v>-29.091193000000001</v>
      </c>
      <c r="E1682" s="4">
        <f>((-35.730018/(10/9))+-10.5)+-0.4</f>
        <v>-43.0570162</v>
      </c>
      <c r="F1682" s="4">
        <f>((-0.76444983*(1.3/1.5))*0.6)-0.3</f>
        <v>-0.69751391159999998</v>
      </c>
    </row>
    <row r="1683" spans="1:6" x14ac:dyDescent="0.4">
      <c r="A1683" s="4">
        <v>1471.0489250000001</v>
      </c>
      <c r="B1683" s="4">
        <v>1.0845442999999999</v>
      </c>
      <c r="C1683" s="4">
        <v>1.1194712</v>
      </c>
      <c r="D1683" s="4">
        <v>-29.091241</v>
      </c>
      <c r="E1683" s="4">
        <f>((-35.6693148/(10/9))+-10.5)+-0.4</f>
        <v>-43.00238332</v>
      </c>
      <c r="F1683" s="4">
        <f>((-0.76476604*(1.3/1.5))*0.6)-0.3</f>
        <v>-0.69767834080000002</v>
      </c>
    </row>
    <row r="1684" spans="1:6" x14ac:dyDescent="0.4">
      <c r="A1684" s="4">
        <v>1471.9238500000001</v>
      </c>
      <c r="B1684" s="4">
        <v>1.0843799000000001</v>
      </c>
      <c r="C1684" s="4">
        <v>1.119831</v>
      </c>
      <c r="D1684" s="4">
        <v>-29.091059999999999</v>
      </c>
      <c r="E1684" s="4">
        <f>((-35.6247/(10/9))+-10.5)+-0.4</f>
        <v>-42.962229999999991</v>
      </c>
      <c r="F1684" s="4">
        <f>((-0.76506817*(1.3/1.5))*0.6)-0.3</f>
        <v>-0.6978354484</v>
      </c>
    </row>
    <row r="1685" spans="1:6" x14ac:dyDescent="0.4">
      <c r="A1685" s="4">
        <v>1472.798775</v>
      </c>
      <c r="B1685" s="4">
        <v>1.0844602999999999</v>
      </c>
      <c r="C1685" s="4">
        <v>1.1198268</v>
      </c>
      <c r="D1685" s="4">
        <v>-29.091096</v>
      </c>
      <c r="E1685" s="4">
        <f>((-35.5767687/(10/9))+-10.5)+-0.4</f>
        <v>-42.919091829999999</v>
      </c>
      <c r="F1685" s="4">
        <f>((-0.76541781*(1.3/1.5))*0.6)-0.3</f>
        <v>-0.69801726119999996</v>
      </c>
    </row>
    <row r="1686" spans="1:6" x14ac:dyDescent="0.4">
      <c r="A1686" s="4">
        <v>1473.6737000000001</v>
      </c>
      <c r="B1686" s="4">
        <v>1.0846351000000001</v>
      </c>
      <c r="C1686" s="4">
        <v>1.1201013</v>
      </c>
      <c r="D1686" s="4">
        <v>-29.090851999999998</v>
      </c>
      <c r="E1686" s="4">
        <f>((-35.7094773/(10/9))+-10.5)+-0.4</f>
        <v>-43.038529570000001</v>
      </c>
      <c r="F1686" s="4">
        <f>((-0.76581329*(1.3/1.5))*0.6)-0.3</f>
        <v>-0.69822291079999999</v>
      </c>
    </row>
    <row r="1687" spans="1:6" x14ac:dyDescent="0.4">
      <c r="A1687" s="4">
        <v>1474.5486249999999</v>
      </c>
      <c r="B1687" s="4">
        <v>1.0850472</v>
      </c>
      <c r="C1687" s="4">
        <v>1.1202109</v>
      </c>
      <c r="D1687" s="4">
        <v>-29.090888</v>
      </c>
      <c r="E1687" s="4">
        <f>((-35.6674851/(10/9))+-10.5)+-0.4</f>
        <v>-43.000736589999995</v>
      </c>
      <c r="F1687" s="4">
        <f>((-0.76626062*(1.3/1.5))*0.6)-0.3</f>
        <v>-0.69845552239999997</v>
      </c>
    </row>
    <row r="1688" spans="1:6" x14ac:dyDescent="0.4">
      <c r="A1688" s="4">
        <v>1475.42355</v>
      </c>
      <c r="B1688" s="4">
        <v>1.0850981</v>
      </c>
      <c r="C1688" s="4">
        <v>1.1203136</v>
      </c>
      <c r="D1688" s="4">
        <v>-29.090902</v>
      </c>
      <c r="E1688" s="4">
        <f>((-35.6474385/(10/9))+-10.5)+-0.4</f>
        <v>-42.982694649999999</v>
      </c>
      <c r="F1688" s="4">
        <f>((-0.76670134*(1.3/1.5))*0.6)-0.3</f>
        <v>-0.6986846968</v>
      </c>
    </row>
    <row r="1689" spans="1:6" x14ac:dyDescent="0.4">
      <c r="A1689" s="4">
        <v>1476.2984750000001</v>
      </c>
      <c r="B1689" s="4">
        <v>1.0850344999999999</v>
      </c>
      <c r="C1689" s="4">
        <v>1.1206111000000001</v>
      </c>
      <c r="D1689" s="4">
        <v>-29.090865000000001</v>
      </c>
      <c r="E1689" s="4">
        <f>((-35.622081/(10/9))+-10.5)+-0.4</f>
        <v>-42.959872900000001</v>
      </c>
      <c r="F1689" s="4">
        <f>((-0.76710624*(1.3/1.5))*0.6)-0.3</f>
        <v>-0.69889524480000009</v>
      </c>
    </row>
    <row r="1690" spans="1:6" x14ac:dyDescent="0.4">
      <c r="A1690" s="4">
        <v>1477.1733999999999</v>
      </c>
      <c r="B1690" s="4">
        <v>1.0851073</v>
      </c>
      <c r="C1690" s="4">
        <v>1.1206354000000001</v>
      </c>
      <c r="D1690" s="4">
        <v>-29.091127</v>
      </c>
      <c r="E1690" s="4">
        <f>((-35.6583591/(10/9))+-10.5)+-0.4</f>
        <v>-42.992523189999993</v>
      </c>
      <c r="F1690" s="4">
        <f>((-0.76752114*(1.3/1.5))*0.6)-0.3</f>
        <v>-0.6991109928</v>
      </c>
    </row>
    <row r="1691" spans="1:6" x14ac:dyDescent="0.4">
      <c r="A1691" s="4">
        <v>1478.048325</v>
      </c>
      <c r="B1691" s="4">
        <v>1.0851626000000001</v>
      </c>
      <c r="C1691" s="4">
        <v>1.1207107999999999</v>
      </c>
      <c r="D1691" s="4">
        <v>-29.090889999999998</v>
      </c>
      <c r="E1691" s="4">
        <f>((-35.6313231/(10/9))+-10.5)+-0.4</f>
        <v>-42.968190790000001</v>
      </c>
      <c r="F1691" s="4">
        <f>((-0.76799232*(1.3/1.5))*0.6)-0.3</f>
        <v>-0.69935600639999995</v>
      </c>
    </row>
    <row r="1692" spans="1:6" x14ac:dyDescent="0.4">
      <c r="A1692" s="4">
        <v>1478.9232500000001</v>
      </c>
      <c r="B1692" s="4">
        <v>1.0854568</v>
      </c>
      <c r="C1692" s="4">
        <v>1.1210621999999999</v>
      </c>
      <c r="D1692" s="4">
        <v>-29.091059999999999</v>
      </c>
      <c r="E1692" s="4">
        <f>((-35.6206185/(10/9))+-10.5)+-0.4</f>
        <v>-42.958556649999998</v>
      </c>
      <c r="F1692" s="4">
        <f>((-0.76845711*(1.3/1.5))*0.6)-0.3</f>
        <v>-0.69959769719999998</v>
      </c>
    </row>
    <row r="1693" spans="1:6" x14ac:dyDescent="0.4">
      <c r="A1693" s="4">
        <v>1479.7981750000001</v>
      </c>
      <c r="B1693" s="4">
        <v>1.0858072000000001</v>
      </c>
      <c r="C1693" s="4">
        <v>1.121254</v>
      </c>
      <c r="D1693" s="4">
        <v>-29.090944</v>
      </c>
      <c r="E1693" s="4">
        <f>((-35.5436145/(10/9))+-10.5)+-0.4</f>
        <v>-42.889253049999994</v>
      </c>
      <c r="F1693" s="4">
        <f>((-0.76885486*(1.3/1.5))*0.6)-0.3</f>
        <v>-0.69980452719999997</v>
      </c>
    </row>
    <row r="1694" spans="1:6" x14ac:dyDescent="0.4">
      <c r="A1694" s="4">
        <v>1480.6731000000002</v>
      </c>
      <c r="B1694" s="4">
        <v>1.0857034000000001</v>
      </c>
      <c r="C1694" s="4">
        <v>1.1215919999999999</v>
      </c>
      <c r="D1694" s="4">
        <v>-29.090965999999998</v>
      </c>
      <c r="E1694" s="4">
        <f>((-35.6316012/(10/9))+-10.5)+-0.4</f>
        <v>-42.968441079999998</v>
      </c>
      <c r="F1694" s="4">
        <f>((-0.76927477*(1.3/1.5))*0.6)-0.3</f>
        <v>-0.70002288039999994</v>
      </c>
    </row>
    <row r="1695" spans="1:6" x14ac:dyDescent="0.4">
      <c r="A1695" s="4">
        <v>1481.5480249999998</v>
      </c>
      <c r="B1695" s="4">
        <v>1.0856920000000001</v>
      </c>
      <c r="C1695" s="4">
        <v>1.1214575</v>
      </c>
      <c r="D1695" s="4">
        <v>-29.091124999999998</v>
      </c>
      <c r="E1695" s="4">
        <f>((-35.6010003/(10/9))+-10.5)+-0.4</f>
        <v>-42.94090027</v>
      </c>
      <c r="F1695" s="4">
        <f>((-0.76969594*(1.3/1.5))*0.6)-0.3</f>
        <v>-0.70024188879999993</v>
      </c>
    </row>
    <row r="1696" spans="1:6" x14ac:dyDescent="0.4">
      <c r="A1696" s="4">
        <v>1482.4229499999999</v>
      </c>
      <c r="B1696" s="4">
        <v>1.0861335999999999</v>
      </c>
      <c r="C1696" s="4">
        <v>1.1218136999999999</v>
      </c>
      <c r="D1696" s="4">
        <v>-29.091021999999999</v>
      </c>
      <c r="E1696" s="4">
        <f>((-35.6030361/(10/9))+-10.5)+-0.4</f>
        <v>-42.942732489999997</v>
      </c>
      <c r="F1696" s="4">
        <f>((-0.77009976*(1.3/1.5))*0.6)-0.3</f>
        <v>-0.70045187519999996</v>
      </c>
    </row>
    <row r="1697" spans="1:6" x14ac:dyDescent="0.4">
      <c r="A1697" s="4">
        <v>1483.297875</v>
      </c>
      <c r="B1697" s="4">
        <v>1.0861418</v>
      </c>
      <c r="C1697" s="4">
        <v>1.1218973000000001</v>
      </c>
      <c r="D1697" s="4">
        <v>-29.091518000000001</v>
      </c>
      <c r="E1697" s="4">
        <f>((-35.6565744/(10/9))+-10.5)+-0.4</f>
        <v>-42.990916959999993</v>
      </c>
      <c r="F1697" s="4">
        <f>((-0.77059209*(1.3/1.5))*0.6)-0.3</f>
        <v>-0.70070788679999996</v>
      </c>
    </row>
    <row r="1698" spans="1:6" x14ac:dyDescent="0.4">
      <c r="A1698" s="4">
        <v>1484.1728000000001</v>
      </c>
      <c r="B1698" s="4">
        <v>1.086355</v>
      </c>
      <c r="C1698" s="4">
        <v>1.1220543000000001</v>
      </c>
      <c r="D1698" s="4">
        <v>-29.091722000000001</v>
      </c>
      <c r="E1698" s="4">
        <f>((-35.5959225/(10/9))+-10.5)+-0.4</f>
        <v>-42.936330249999997</v>
      </c>
      <c r="F1698" s="4">
        <f>((-0.7710858*(1.3/1.5))*0.6)-0.3</f>
        <v>-0.70096461600000004</v>
      </c>
    </row>
    <row r="1699" spans="1:6" x14ac:dyDescent="0.4">
      <c r="A1699" s="4">
        <v>1485.0477250000001</v>
      </c>
      <c r="B1699" s="4">
        <v>1.0863159</v>
      </c>
      <c r="C1699" s="4">
        <v>1.1220919</v>
      </c>
      <c r="D1699" s="4">
        <v>-29.09197</v>
      </c>
      <c r="E1699" s="4">
        <f>((-35.6198562/(10/9))+-10.5)+-0.4</f>
        <v>-42.957870579999998</v>
      </c>
      <c r="F1699" s="4">
        <f>((-0.77153355*(1.3/1.5))*0.6)-0.3</f>
        <v>-0.701197446</v>
      </c>
    </row>
    <row r="1700" spans="1:6" x14ac:dyDescent="0.4">
      <c r="A1700" s="4">
        <v>1485.92265</v>
      </c>
      <c r="B1700" s="4">
        <v>1.0867275999999999</v>
      </c>
      <c r="C1700" s="4">
        <v>1.1224337</v>
      </c>
      <c r="D1700" s="4">
        <v>-29.092192999999998</v>
      </c>
      <c r="E1700" s="4">
        <f>((-35.5607874/(10/9))+-10.5)+-0.4</f>
        <v>-42.904708659999997</v>
      </c>
      <c r="F1700" s="4">
        <f>((-0.77201897*(1.3/1.5))*0.6)-0.3</f>
        <v>-0.70144986440000001</v>
      </c>
    </row>
    <row r="1701" spans="1:6" x14ac:dyDescent="0.4">
      <c r="A1701" s="4">
        <v>1486.7975750000001</v>
      </c>
      <c r="B1701" s="4">
        <v>1.086962</v>
      </c>
      <c r="C1701" s="4">
        <v>1.1228788999999999</v>
      </c>
      <c r="D1701" s="4">
        <v>-29.092344999999998</v>
      </c>
      <c r="E1701" s="4">
        <f>((-35.613288/(10/9))+-10.5)+-0.4</f>
        <v>-42.951959199999997</v>
      </c>
      <c r="F1701" s="4">
        <f>((-0.77246928*(1.3/1.5))*0.6)-0.3</f>
        <v>-0.70168402559999998</v>
      </c>
    </row>
    <row r="1702" spans="1:6" x14ac:dyDescent="0.4">
      <c r="A1702" s="4">
        <v>1487.6724999999999</v>
      </c>
      <c r="B1702" s="4">
        <v>1.0869728000000001</v>
      </c>
      <c r="C1702" s="4">
        <v>1.1227720000000001</v>
      </c>
      <c r="D1702" s="4">
        <v>-29.092611999999999</v>
      </c>
      <c r="E1702" s="4">
        <f>((-35.6046813/(10/9))+-10.5)+-0.4</f>
        <v>-42.944213169999998</v>
      </c>
      <c r="F1702" s="4">
        <f>((-0.77302957*(1.3/1.5))*0.6)-0.3</f>
        <v>-0.70197537640000007</v>
      </c>
    </row>
    <row r="1703" spans="1:6" x14ac:dyDescent="0.4">
      <c r="A1703" s="4">
        <v>1488.547425</v>
      </c>
      <c r="B1703" s="4">
        <v>1.0870446</v>
      </c>
      <c r="C1703" s="4">
        <v>1.1229678000000001</v>
      </c>
      <c r="D1703" s="4">
        <v>-29.092948</v>
      </c>
      <c r="E1703" s="4">
        <f>((-35.602209/(10/9))+-10.5)+-0.4</f>
        <v>-42.941988099999996</v>
      </c>
      <c r="F1703" s="4">
        <f>((-0.77359849*(1.3/1.5))*0.6)-0.3</f>
        <v>-0.7022712148000001</v>
      </c>
    </row>
    <row r="1704" spans="1:6" x14ac:dyDescent="0.4">
      <c r="A1704" s="4">
        <v>1489.4223500000001</v>
      </c>
      <c r="B1704" s="4">
        <v>1.087253</v>
      </c>
      <c r="C1704" s="4">
        <v>1.123162</v>
      </c>
      <c r="D1704" s="4">
        <v>-29.093361999999999</v>
      </c>
      <c r="E1704" s="4">
        <f>((-35.5698234/(10/9))+-10.5)+-0.4</f>
        <v>-42.912841059999991</v>
      </c>
      <c r="F1704" s="4">
        <f>((-0.77413636*(1.3/1.5))*0.6)-0.3</f>
        <v>-0.70255090720000002</v>
      </c>
    </row>
    <row r="1705" spans="1:6" x14ac:dyDescent="0.4">
      <c r="A1705" s="4">
        <v>1490.2972749999999</v>
      </c>
      <c r="B1705" s="4">
        <v>1.0873339</v>
      </c>
      <c r="C1705" s="4">
        <v>1.1232401999999999</v>
      </c>
      <c r="D1705" s="4">
        <v>-29.093903999999998</v>
      </c>
      <c r="E1705" s="4">
        <f>((-35.551143/(10/9))+-10.5)+-0.4</f>
        <v>-42.896028699999995</v>
      </c>
      <c r="F1705" s="4">
        <f>((-0.77469778*(1.3/1.5))*0.6)-0.3</f>
        <v>-0.70284284559999999</v>
      </c>
    </row>
    <row r="1706" spans="1:6" x14ac:dyDescent="0.4">
      <c r="A1706" s="4">
        <v>1491.1722</v>
      </c>
      <c r="B1706" s="4">
        <v>1.0874146</v>
      </c>
      <c r="C1706" s="4">
        <v>1.1235404</v>
      </c>
      <c r="D1706" s="4">
        <v>-29.094196999999998</v>
      </c>
      <c r="E1706" s="4">
        <f>((-35.6250609/(10/9))+-10.5)+-0.4</f>
        <v>-42.96255481</v>
      </c>
      <c r="F1706" s="4">
        <f>((-0.77526069*(1.3/1.5))*0.6)-0.3</f>
        <v>-0.7031355588</v>
      </c>
    </row>
    <row r="1707" spans="1:6" x14ac:dyDescent="0.4">
      <c r="A1707" s="4">
        <v>1492.0471250000001</v>
      </c>
      <c r="B1707" s="4">
        <v>1.0876598</v>
      </c>
      <c r="C1707" s="4">
        <v>1.1235206</v>
      </c>
      <c r="D1707" s="4">
        <v>-29.09468</v>
      </c>
      <c r="E1707" s="4">
        <f>((-35.6008149/(10/9))+-10.5)+-0.4</f>
        <v>-42.94073341</v>
      </c>
      <c r="F1707" s="4">
        <f>((-0.7758472*(1.3/1.5))*0.6)-0.3</f>
        <v>-0.703440544</v>
      </c>
    </row>
    <row r="1708" spans="1:6" x14ac:dyDescent="0.4">
      <c r="A1708" s="4">
        <v>1492.9220500000001</v>
      </c>
      <c r="B1708" s="4">
        <v>1.0878109</v>
      </c>
      <c r="C1708" s="4">
        <v>1.1236900999999999</v>
      </c>
      <c r="D1708" s="4">
        <v>-29.094939</v>
      </c>
      <c r="E1708" s="4">
        <f>((-35.583192/(10/9))+-10.5)+-0.4</f>
        <v>-42.924872799999996</v>
      </c>
      <c r="F1708" s="4">
        <f>((-0.77639163*(1.3/1.5))*0.6)-0.3</f>
        <v>-0.70372364759999995</v>
      </c>
    </row>
    <row r="1709" spans="1:6" x14ac:dyDescent="0.4">
      <c r="A1709" s="4">
        <v>1493.7969750000002</v>
      </c>
      <c r="B1709" s="4">
        <v>1.0879854</v>
      </c>
      <c r="C1709" s="4">
        <v>1.1240983</v>
      </c>
      <c r="D1709" s="4">
        <v>-29.095184</v>
      </c>
      <c r="E1709" s="4">
        <f>((-35.4619926/(10/9))+-10.5)+-0.4</f>
        <v>-42.815793339999999</v>
      </c>
      <c r="F1709" s="4">
        <f>((-0.77692765*(1.3/1.5))*0.6)-0.3</f>
        <v>-0.70400237799999998</v>
      </c>
    </row>
    <row r="1710" spans="1:6" x14ac:dyDescent="0.4">
      <c r="A1710" s="4">
        <v>1494.6718999999998</v>
      </c>
      <c r="B1710" s="4">
        <v>1.0881649</v>
      </c>
      <c r="C1710" s="4">
        <v>1.1242258999999999</v>
      </c>
      <c r="D1710" s="4">
        <v>-29.095116999999998</v>
      </c>
      <c r="E1710" s="4">
        <f>((-35.4861279/(10/9))+-10.5)+-0.4</f>
        <v>-42.837515109999998</v>
      </c>
      <c r="F1710" s="4">
        <f>((-0.77748501*(1.3/1.5))*0.6)-0.3</f>
        <v>-0.70429220520000002</v>
      </c>
    </row>
    <row r="1711" spans="1:6" x14ac:dyDescent="0.4">
      <c r="A1711" s="4">
        <v>1495.5468249999999</v>
      </c>
      <c r="B1711" s="4">
        <v>1.0883137000000001</v>
      </c>
      <c r="C1711" s="4">
        <v>1.1242645</v>
      </c>
      <c r="D1711" s="4">
        <v>-29.095316999999998</v>
      </c>
      <c r="E1711" s="4">
        <f>((-35.5122513/(10/9))+-10.5)+-0.4</f>
        <v>-42.861026169999995</v>
      </c>
      <c r="F1711" s="4">
        <f>((-0.77814513*(1.3/1.5))*0.6)-0.3</f>
        <v>-0.70463546759999995</v>
      </c>
    </row>
    <row r="1712" spans="1:6" x14ac:dyDescent="0.4">
      <c r="A1712" s="4">
        <v>1496.42175</v>
      </c>
      <c r="B1712" s="4">
        <v>1.0882765000000001</v>
      </c>
      <c r="C1712" s="4">
        <v>1.1245130000000001</v>
      </c>
      <c r="D1712" s="4">
        <v>-29.095068999999999</v>
      </c>
      <c r="E1712" s="4">
        <f>((-35.5230351/(10/9))+-10.5)+-0.4</f>
        <v>-42.870731589999998</v>
      </c>
      <c r="F1712" s="4">
        <f>((-0.77881694*(1.3/1.5))*0.6)-0.3</f>
        <v>-0.70498480880000003</v>
      </c>
    </row>
    <row r="1713" spans="1:6" x14ac:dyDescent="0.4">
      <c r="A1713" s="4">
        <v>1497.2966750000001</v>
      </c>
      <c r="B1713" s="4">
        <v>1.0884689999999999</v>
      </c>
      <c r="C1713" s="4">
        <v>1.1245509</v>
      </c>
      <c r="D1713" s="4">
        <v>-29.095421999999999</v>
      </c>
      <c r="E1713" s="4">
        <f>((-35.5463847/(10/9))+-10.5)+-0.4</f>
        <v>-42.891746229999995</v>
      </c>
      <c r="F1713" s="4">
        <f>((-0.77951676*(1.3/1.5))*0.6)-0.3</f>
        <v>-0.70534871519999998</v>
      </c>
    </row>
    <row r="1714" spans="1:6" x14ac:dyDescent="0.4">
      <c r="A1714" s="4">
        <v>1498.1716000000001</v>
      </c>
      <c r="B1714" s="4">
        <v>1.0887264999999999</v>
      </c>
      <c r="C1714" s="4">
        <v>1.125103</v>
      </c>
      <c r="D1714" s="4">
        <v>-29.096191000000001</v>
      </c>
      <c r="E1714" s="4">
        <f>((-35.5290885/(10/9))+-10.5)+-0.4</f>
        <v>-42.876179649999997</v>
      </c>
      <c r="F1714" s="4">
        <f>((-0.78019547*(1.3/1.5))*0.6)-0.3</f>
        <v>-0.70570164439999994</v>
      </c>
    </row>
    <row r="1715" spans="1:6" x14ac:dyDescent="0.4">
      <c r="A1715" s="4">
        <v>1499.046525</v>
      </c>
      <c r="B1715" s="4">
        <v>1.0890149</v>
      </c>
      <c r="C1715" s="4">
        <v>1.1252594</v>
      </c>
      <c r="D1715" s="4">
        <v>-29.096575999999999</v>
      </c>
      <c r="E1715" s="4">
        <f>((-35.4727935/(10/9))+-10.5)+-0.4</f>
        <v>-42.825514149999997</v>
      </c>
      <c r="F1715" s="4">
        <f>((-0.78083652*(1.3/1.5))*0.6)-0.3</f>
        <v>-0.70603499040000006</v>
      </c>
    </row>
    <row r="1716" spans="1:6" x14ac:dyDescent="0.4">
      <c r="A1716" s="4">
        <v>1499.92145</v>
      </c>
      <c r="B1716" s="4">
        <v>1.0891426</v>
      </c>
      <c r="C1716" s="4">
        <v>1.1253835000000001</v>
      </c>
      <c r="D1716" s="4">
        <v>-29.096323999999999</v>
      </c>
      <c r="E1716" s="4">
        <f>((-35.4946842/(10/9))+-10.5)+-0.4</f>
        <v>-42.845215779999997</v>
      </c>
      <c r="F1716" s="4">
        <f>((-0.78142405*(1.3/1.5))*0.6)-0.3</f>
        <v>-0.70634050600000009</v>
      </c>
    </row>
    <row r="1717" spans="1:6" x14ac:dyDescent="0.4">
      <c r="A1717" s="4">
        <v>1500.7963749999999</v>
      </c>
      <c r="B1717" s="4">
        <v>1.0891553</v>
      </c>
      <c r="C1717" s="4">
        <v>1.1255655</v>
      </c>
      <c r="D1717" s="4">
        <v>-29.096527999999999</v>
      </c>
      <c r="E1717" s="4">
        <f>((-35.5092336/(10/9))+-10.5)+-0.4</f>
        <v>-42.858310240000002</v>
      </c>
      <c r="F1717" s="4">
        <f>((-0.78204715*(1.3/1.5))*0.6)-0.3</f>
        <v>-0.70666451799999996</v>
      </c>
    </row>
    <row r="1718" spans="1:6" x14ac:dyDescent="0.4">
      <c r="A1718" s="4">
        <v>1501.6713</v>
      </c>
      <c r="B1718" s="4">
        <v>1.0892808</v>
      </c>
      <c r="C1718" s="4">
        <v>1.1255945000000001</v>
      </c>
      <c r="D1718" s="4">
        <v>-29.097148000000001</v>
      </c>
      <c r="E1718" s="4">
        <f>((-35.4767346/(10/9))+-10.5)+-0.4</f>
        <v>-42.82906114</v>
      </c>
      <c r="F1718" s="4">
        <f>((-0.78262722*(1.3/1.5))*0.6)-0.3</f>
        <v>-0.70696615439999988</v>
      </c>
    </row>
    <row r="1719" spans="1:6" x14ac:dyDescent="0.4">
      <c r="A1719" s="4">
        <v>1502.546225</v>
      </c>
      <c r="B1719" s="4">
        <v>1.0894279</v>
      </c>
      <c r="C1719" s="4">
        <v>1.1257002</v>
      </c>
      <c r="D1719" s="4">
        <v>-29.097245000000001</v>
      </c>
      <c r="E1719" s="4">
        <f>((-35.4999402/(10/9))+-10.5)+-0.4</f>
        <v>-42.849946179999996</v>
      </c>
      <c r="F1719" s="4">
        <f>((-0.78323436*(1.3/1.5))*0.6)-0.3</f>
        <v>-0.70728186719999997</v>
      </c>
    </row>
    <row r="1720" spans="1:6" x14ac:dyDescent="0.4">
      <c r="A1720" s="4">
        <v>1503.4211499999999</v>
      </c>
      <c r="B1720" s="4">
        <v>1.0896828000000001</v>
      </c>
      <c r="C1720" s="4">
        <v>1.1259234</v>
      </c>
      <c r="D1720" s="4">
        <v>-29.097691999999999</v>
      </c>
      <c r="E1720" s="4">
        <f>((-35.497791/(10/9))+-10.5)+-0.4</f>
        <v>-42.848011899999996</v>
      </c>
      <c r="F1720" s="4">
        <f>((-0.78383863*(1.3/1.5))*0.6)-0.3</f>
        <v>-0.70759608760000003</v>
      </c>
    </row>
    <row r="1721" spans="1:6" x14ac:dyDescent="0.4">
      <c r="A1721" s="4">
        <v>1504.296075</v>
      </c>
      <c r="B1721" s="4">
        <v>1.0897907</v>
      </c>
      <c r="C1721" s="4">
        <v>1.1261694</v>
      </c>
      <c r="D1721" s="4">
        <v>-29.097761999999999</v>
      </c>
      <c r="E1721" s="4">
        <f>((-35.4936708/(10/9))+-10.5)+-0.4</f>
        <v>-42.844303719999992</v>
      </c>
      <c r="F1721" s="4">
        <f>((-0.78447229*(1.3/1.5))*0.6)-0.3</f>
        <v>-0.70792559079999995</v>
      </c>
    </row>
    <row r="1722" spans="1:6" x14ac:dyDescent="0.4">
      <c r="A1722" s="4">
        <v>1505.171</v>
      </c>
      <c r="B1722" s="4">
        <v>1.0901533000000001</v>
      </c>
      <c r="C1722" s="4">
        <v>1.1263194999999999</v>
      </c>
      <c r="D1722" s="4">
        <v>-29.097881999999998</v>
      </c>
      <c r="E1722" s="4">
        <f>((-35.5100616/(10/9))+-10.5)+-0.4</f>
        <v>-42.859055439999999</v>
      </c>
      <c r="F1722" s="4">
        <f>((-0.78508133*(1.3/1.5))*0.6)-0.3</f>
        <v>-0.70824229159999996</v>
      </c>
    </row>
    <row r="1723" spans="1:6" x14ac:dyDescent="0.4">
      <c r="A1723" s="4">
        <v>1506.0459250000001</v>
      </c>
      <c r="B1723" s="4">
        <v>1.0900878000000001</v>
      </c>
      <c r="C1723" s="4">
        <v>1.1266598999999999</v>
      </c>
      <c r="D1723" s="4">
        <v>-29.098230000000001</v>
      </c>
      <c r="E1723" s="4">
        <f>((-35.505162/(10/9))+-10.5)+-0.4</f>
        <v>-42.854645799999993</v>
      </c>
      <c r="F1723" s="4">
        <f>((-0.78571624*(1.3/1.5))*0.6)-0.3</f>
        <v>-0.70857244479999992</v>
      </c>
    </row>
    <row r="1724" spans="1:6" x14ac:dyDescent="0.4">
      <c r="A1724" s="4">
        <v>1506.9208500000002</v>
      </c>
      <c r="B1724" s="4">
        <v>1.0901525000000001</v>
      </c>
      <c r="C1724" s="4">
        <v>1.126762</v>
      </c>
      <c r="D1724" s="4">
        <v>-29.098459999999999</v>
      </c>
      <c r="E1724" s="4">
        <f>((-35.5298679/(10/9))+-10.5)+-0.4</f>
        <v>-42.876881109999992</v>
      </c>
      <c r="F1724" s="4">
        <f>((-0.78637695*(1.3/1.5))*0.6)-0.3</f>
        <v>-0.70891601399999993</v>
      </c>
    </row>
    <row r="1725" spans="1:6" x14ac:dyDescent="0.4">
      <c r="A1725" s="4">
        <v>1507.7957749999998</v>
      </c>
      <c r="B1725" s="4">
        <v>1.0903788999999999</v>
      </c>
      <c r="C1725" s="4">
        <v>1.1269746</v>
      </c>
      <c r="D1725" s="4">
        <v>-29.098673999999999</v>
      </c>
      <c r="E1725" s="4">
        <f>((-35.4266955/(10/9))+-10.5)+-0.4</f>
        <v>-42.784025949999993</v>
      </c>
      <c r="F1725" s="4">
        <f>((-0.78706759*(1.3/1.5))*0.6)-0.3</f>
        <v>-0.70927514680000003</v>
      </c>
    </row>
    <row r="1726" spans="1:6" x14ac:dyDescent="0.4">
      <c r="A1726" s="4">
        <v>1508.6706999999999</v>
      </c>
      <c r="B1726" s="4">
        <v>1.0905057</v>
      </c>
      <c r="C1726" s="4">
        <v>1.1270888999999999</v>
      </c>
      <c r="D1726" s="4">
        <v>-29.099323999999999</v>
      </c>
      <c r="E1726" s="4">
        <f>((-35.4998268/(10/9))+-10.5)+-0.4</f>
        <v>-42.849844119999993</v>
      </c>
      <c r="F1726" s="4">
        <f>((-0.78767926*(1.3/1.5))*0.6)-0.3</f>
        <v>-0.70959321519999996</v>
      </c>
    </row>
    <row r="1727" spans="1:6" x14ac:dyDescent="0.4">
      <c r="A1727" s="4">
        <v>1509.545625</v>
      </c>
      <c r="B1727" s="4">
        <v>1.0906321000000001</v>
      </c>
      <c r="C1727" s="4">
        <v>1.1271287999999999</v>
      </c>
      <c r="D1727" s="4">
        <v>-29.099536000000001</v>
      </c>
      <c r="E1727" s="4">
        <f>((-35.499051/(10/9))+-10.5)+-0.4</f>
        <v>-42.849145900000003</v>
      </c>
      <c r="F1727" s="4">
        <f>((-0.78824466*(1.3/1.5))*0.6)-0.3</f>
        <v>-0.70988722319999997</v>
      </c>
    </row>
    <row r="1728" spans="1:6" x14ac:dyDescent="0.4">
      <c r="A1728" s="4">
        <v>1510.42055</v>
      </c>
      <c r="B1728" s="4">
        <v>1.0905819999999999</v>
      </c>
      <c r="C1728" s="4">
        <v>1.1271867</v>
      </c>
      <c r="D1728" s="4">
        <v>-29.099836</v>
      </c>
      <c r="E1728" s="4">
        <f>((-35.4612438/(10/9))+-10.5)+-0.4</f>
        <v>-42.815119419999995</v>
      </c>
      <c r="F1728" s="4">
        <f>((-0.78884774*(1.3/1.5))*0.6)-0.3</f>
        <v>-0.71020082480000002</v>
      </c>
    </row>
    <row r="1729" spans="1:6" x14ac:dyDescent="0.4">
      <c r="A1729" s="4">
        <v>1511.2954750000001</v>
      </c>
      <c r="B1729" s="4">
        <v>1.0911659</v>
      </c>
      <c r="C1729" s="4">
        <v>1.127772</v>
      </c>
      <c r="D1729" s="4">
        <v>-29.100020999999998</v>
      </c>
      <c r="E1729" s="4">
        <f>((-35.4788397/(10/9))+-10.5)+-0.4</f>
        <v>-42.830955729999999</v>
      </c>
      <c r="F1729" s="4">
        <f>((-0.78950071*(1.3/1.5))*0.6)-0.3</f>
        <v>-0.71054036919999997</v>
      </c>
    </row>
    <row r="1730" spans="1:6" x14ac:dyDescent="0.4">
      <c r="A1730" s="4">
        <v>1512.1704</v>
      </c>
      <c r="B1730" s="4">
        <v>1.0911234999999999</v>
      </c>
      <c r="C1730" s="4">
        <v>1.1278188</v>
      </c>
      <c r="D1730" s="4">
        <v>-29.100660999999999</v>
      </c>
      <c r="E1730" s="4">
        <f>((-35.4381831/(10/9))+-10.5)+-0.4</f>
        <v>-42.794364789999996</v>
      </c>
      <c r="F1730" s="4">
        <f>((-0.79011309*(1.3/1.5))*0.6)-0.3</f>
        <v>-0.71085880679999991</v>
      </c>
    </row>
    <row r="1731" spans="1:6" x14ac:dyDescent="0.4">
      <c r="A1731" s="4">
        <v>1513.045325</v>
      </c>
      <c r="B1731" s="4">
        <v>1.0911706999999999</v>
      </c>
      <c r="C1731" s="4">
        <v>1.1280299</v>
      </c>
      <c r="D1731" s="4">
        <v>-29.101133000000001</v>
      </c>
      <c r="E1731" s="4">
        <f>((-35.4421791/(10/9))+-10.5)+-0.4</f>
        <v>-42.797961189999995</v>
      </c>
      <c r="F1731" s="4">
        <f>((-0.79073834*(1.3/1.5))*0.6)-0.3</f>
        <v>-0.71118393679999992</v>
      </c>
    </row>
    <row r="1732" spans="1:6" x14ac:dyDescent="0.4">
      <c r="A1732" s="4">
        <v>1513.9202499999999</v>
      </c>
      <c r="B1732" s="4">
        <v>1.0914202</v>
      </c>
      <c r="C1732" s="4">
        <v>1.1281749000000001</v>
      </c>
      <c r="D1732" s="4">
        <v>-29.101230000000001</v>
      </c>
      <c r="E1732" s="4">
        <f>((-35.4227715/(10/9))+-10.5)+-0.4</f>
        <v>-42.780494350000005</v>
      </c>
      <c r="F1732" s="4">
        <f>((-0.79122955*(1.3/1.5))*0.6)-0.3</f>
        <v>-0.71143936600000002</v>
      </c>
    </row>
    <row r="1733" spans="1:6" x14ac:dyDescent="0.4">
      <c r="A1733" s="4">
        <v>1514.795175</v>
      </c>
      <c r="B1733" s="4">
        <v>1.0915250000000001</v>
      </c>
      <c r="C1733" s="4">
        <v>1.1283867000000001</v>
      </c>
      <c r="D1733" s="4">
        <v>-29.101648999999998</v>
      </c>
      <c r="E1733" s="4">
        <f>((-35.435124/(10/9))+-10.5)+-0.4</f>
        <v>-42.791611600000003</v>
      </c>
      <c r="F1733" s="4">
        <f>((-0.79175693*(1.3/1.5))*0.6)-0.3</f>
        <v>-0.71171360360000002</v>
      </c>
    </row>
    <row r="1734" spans="1:6" x14ac:dyDescent="0.4">
      <c r="A1734" s="4">
        <v>1515.6701</v>
      </c>
      <c r="B1734" s="4">
        <v>1.091612</v>
      </c>
      <c r="C1734" s="4">
        <v>1.1285098</v>
      </c>
      <c r="D1734" s="4">
        <v>-29.102145</v>
      </c>
      <c r="E1734" s="4">
        <f>((-35.3941902/(10/9))+-10.5)+-0.4</f>
        <v>-42.754771179999999</v>
      </c>
      <c r="F1734" s="4">
        <f>((-0.79231381*(1.3/1.5))*0.6)-0.3</f>
        <v>-0.71200318120000006</v>
      </c>
    </row>
    <row r="1735" spans="1:6" x14ac:dyDescent="0.4">
      <c r="A1735" s="4">
        <v>1516.5450249999999</v>
      </c>
      <c r="B1735" s="4">
        <v>1.0916703999999999</v>
      </c>
      <c r="C1735" s="4">
        <v>1.1287909</v>
      </c>
      <c r="D1735" s="4">
        <v>-29.102482999999999</v>
      </c>
      <c r="E1735" s="4">
        <f>((-35.45307/(10/9))+-10.5)+-0.4</f>
        <v>-42.807762999999994</v>
      </c>
      <c r="F1735" s="4">
        <f>((-0.79293722*(1.3/1.5))*0.6)-0.3</f>
        <v>-0.71232735439999995</v>
      </c>
    </row>
    <row r="1736" spans="1:6" x14ac:dyDescent="0.4">
      <c r="A1736" s="4">
        <v>1517.41995</v>
      </c>
      <c r="B1736" s="4">
        <v>1.0920458</v>
      </c>
      <c r="C1736" s="4">
        <v>1.1290096999999999</v>
      </c>
      <c r="D1736" s="4">
        <v>-29.102938999999999</v>
      </c>
      <c r="E1736" s="4">
        <f>((-35.4328758/(10/9))+-10.5)+-0.4</f>
        <v>-42.789588219999992</v>
      </c>
      <c r="F1736" s="4">
        <f>((-0.79347485*(1.3/1.5))*0.6)-0.3</f>
        <v>-0.71260692199999998</v>
      </c>
    </row>
    <row r="1737" spans="1:6" x14ac:dyDescent="0.4">
      <c r="A1737" s="4">
        <v>1518.294875</v>
      </c>
      <c r="B1737" s="4">
        <v>1.0924455</v>
      </c>
      <c r="C1737" s="4">
        <v>1.1291125</v>
      </c>
      <c r="D1737" s="4">
        <v>-29.103338999999998</v>
      </c>
      <c r="E1737" s="4">
        <f>((-35.4421764/(10/9))+-10.5)+-0.4</f>
        <v>-42.797958759999993</v>
      </c>
      <c r="F1737" s="4">
        <f>((-0.79398698*(1.3/1.5))*0.6)-0.3</f>
        <v>-0.71287322959999999</v>
      </c>
    </row>
    <row r="1738" spans="1:6" x14ac:dyDescent="0.4">
      <c r="A1738" s="4">
        <v>1519.1698000000001</v>
      </c>
      <c r="B1738" s="4">
        <v>1.0924482</v>
      </c>
      <c r="C1738" s="4">
        <v>1.1292082000000001</v>
      </c>
      <c r="D1738" s="4">
        <v>-29.103572</v>
      </c>
      <c r="E1738" s="4">
        <f>((-35.4271725/(10/9))+-10.5)+-0.4</f>
        <v>-42.784455249999993</v>
      </c>
      <c r="F1738" s="4">
        <f>((-0.79456192*(1.3/1.5))*0.6)-0.3</f>
        <v>-0.71317219840000001</v>
      </c>
    </row>
    <row r="1739" spans="1:6" x14ac:dyDescent="0.4">
      <c r="A1739" s="4">
        <v>1520.0447250000002</v>
      </c>
      <c r="B1739" s="4">
        <v>1.0924088000000001</v>
      </c>
      <c r="C1739" s="4">
        <v>1.1294717000000001</v>
      </c>
      <c r="D1739" s="4">
        <v>-29.10399</v>
      </c>
      <c r="E1739" s="4">
        <f>((-35.3574684/(10/9))+-10.5)+-0.4</f>
        <v>-42.721721559999999</v>
      </c>
      <c r="F1739" s="4">
        <f>((-0.7950601*(1.3/1.5))*0.6)-0.3</f>
        <v>-0.71343125200000002</v>
      </c>
    </row>
    <row r="1740" spans="1:6" x14ac:dyDescent="0.4">
      <c r="A1740" s="4">
        <v>1520.9196499999998</v>
      </c>
      <c r="B1740" s="4">
        <v>1.0926704</v>
      </c>
      <c r="C1740" s="4">
        <v>1.1296972999999999</v>
      </c>
      <c r="D1740" s="4">
        <v>-29.104291</v>
      </c>
      <c r="E1740" s="4">
        <f>((-35.3915154/(10/9))+-10.5)+-0.4</f>
        <v>-42.752363859999996</v>
      </c>
      <c r="F1740" s="4">
        <f>((-0.79554939*(1.3/1.5))*0.6)-0.3</f>
        <v>-0.7136856828</v>
      </c>
    </row>
    <row r="1741" spans="1:6" x14ac:dyDescent="0.4">
      <c r="A1741" s="4">
        <v>1521.7945749999999</v>
      </c>
      <c r="B1741" s="4">
        <v>1.0929266</v>
      </c>
      <c r="C1741" s="4">
        <v>1.1295896000000001</v>
      </c>
      <c r="D1741" s="4">
        <v>-29.104848</v>
      </c>
      <c r="E1741" s="4">
        <f>((-35.3629953/(10/9))+-10.5)+-0.4</f>
        <v>-42.726695769999999</v>
      </c>
      <c r="F1741" s="4">
        <f>((-0.79608017*(1.3/1.5))*0.6)-0.3</f>
        <v>-0.71396168839999996</v>
      </c>
    </row>
    <row r="1742" spans="1:6" x14ac:dyDescent="0.4">
      <c r="A1742" s="4">
        <v>1522.6695</v>
      </c>
      <c r="B1742" s="4">
        <v>1.0926758000000001</v>
      </c>
      <c r="C1742" s="4">
        <v>1.1297181999999999</v>
      </c>
      <c r="D1742" s="4">
        <v>-29.105219999999999</v>
      </c>
      <c r="E1742" s="4">
        <f>((-35.3956455/(10/9))+-10.5)+-0.4</f>
        <v>-42.756080949999998</v>
      </c>
      <c r="F1742" s="4">
        <f>((-0.79654217*(1.3/1.5))*0.6)-0.3</f>
        <v>-0.71420192840000007</v>
      </c>
    </row>
    <row r="1743" spans="1:6" x14ac:dyDescent="0.4">
      <c r="A1743" s="4">
        <v>1523.544425</v>
      </c>
      <c r="B1743" s="4">
        <v>1.0931054</v>
      </c>
      <c r="C1743" s="4">
        <v>1.1301677000000001</v>
      </c>
      <c r="D1743" s="4">
        <v>-29.105505999999998</v>
      </c>
      <c r="E1743" s="4">
        <f>((-35.3626965/(10/9))+-10.5)+-0.4</f>
        <v>-42.726426849999996</v>
      </c>
      <c r="F1743" s="4">
        <f>((-0.79700267*(1.3/1.5))*0.6)-0.3</f>
        <v>-0.71444138840000004</v>
      </c>
    </row>
    <row r="1744" spans="1:6" x14ac:dyDescent="0.4">
      <c r="A1744" s="4">
        <v>1524.4193500000001</v>
      </c>
      <c r="B1744" s="4">
        <v>1.0933851999999999</v>
      </c>
      <c r="C1744" s="4">
        <v>1.1303293000000001</v>
      </c>
      <c r="D1744" s="4">
        <v>-29.105702999999998</v>
      </c>
      <c r="E1744" s="4">
        <f>((-35.3858229/(10/9))+-10.5)+-0.4</f>
        <v>-42.747240609999999</v>
      </c>
      <c r="F1744" s="4">
        <f>((-0.79746342*(1.3/1.5))*0.6)-0.3</f>
        <v>-0.7146809784</v>
      </c>
    </row>
    <row r="1745" spans="1:6" x14ac:dyDescent="0.4">
      <c r="A1745" s="4">
        <v>1525.294275</v>
      </c>
      <c r="B1745" s="4">
        <v>1.0933356000000001</v>
      </c>
      <c r="C1745" s="4">
        <v>1.1305537000000001</v>
      </c>
      <c r="D1745" s="4">
        <v>-29.105611</v>
      </c>
      <c r="E1745" s="4">
        <f>((-35.3798901/(10/9))+-10.5)+-0.4</f>
        <v>-42.741901089999992</v>
      </c>
      <c r="F1745" s="4">
        <f>((-0.79793829*(1.3/1.5))*0.6)-0.3</f>
        <v>-0.71492791080000007</v>
      </c>
    </row>
    <row r="1746" spans="1:6" x14ac:dyDescent="0.4">
      <c r="A1746" s="4">
        <v>1526.1692</v>
      </c>
      <c r="B1746" s="4">
        <v>1.0935564</v>
      </c>
      <c r="C1746" s="4">
        <v>1.1306316000000001</v>
      </c>
      <c r="D1746" s="4">
        <v>-29.105810999999999</v>
      </c>
      <c r="E1746" s="4">
        <f>((-35.3856717/(10/9))+-10.5)+-0.4</f>
        <v>-42.747104530000001</v>
      </c>
      <c r="F1746" s="4">
        <f>((-0.79836559*(1.3/1.5))*0.6)-0.3</f>
        <v>-0.71515010680000002</v>
      </c>
    </row>
    <row r="1747" spans="1:6" x14ac:dyDescent="0.4">
      <c r="A1747" s="4">
        <v>1527.0441249999999</v>
      </c>
      <c r="B1747" s="4">
        <v>1.0938333</v>
      </c>
      <c r="C1747" s="4">
        <v>1.1309617999999999</v>
      </c>
      <c r="D1747" s="4">
        <v>-29.106061</v>
      </c>
      <c r="E1747" s="4">
        <f>((-35.3339919/(10/9))+-10.5)+-0.4</f>
        <v>-42.700592710000002</v>
      </c>
      <c r="F1747" s="4">
        <f>((-0.79880637*(1.3/1.5))*0.6)-0.3</f>
        <v>-0.71537931239999997</v>
      </c>
    </row>
    <row r="1748" spans="1:6" x14ac:dyDescent="0.4">
      <c r="A1748" s="4">
        <v>1527.91905</v>
      </c>
      <c r="B1748" s="4">
        <v>1.0940232999999999</v>
      </c>
      <c r="C1748" s="4">
        <v>1.1312525</v>
      </c>
      <c r="D1748" s="4">
        <v>-29.106227000000001</v>
      </c>
      <c r="E1748" s="4">
        <f>((-35.2849239/(10/9))+-10.5)+-0.4</f>
        <v>-42.656431509999997</v>
      </c>
      <c r="F1748" s="4">
        <f>((-0.7993232*(1.3/1.5))*0.6)-0.3</f>
        <v>-0.71564806400000003</v>
      </c>
    </row>
    <row r="1749" spans="1:6" x14ac:dyDescent="0.4">
      <c r="A1749" s="4">
        <v>1528.793975</v>
      </c>
      <c r="B1749" s="4">
        <v>1.0939798000000001</v>
      </c>
      <c r="C1749" s="4">
        <v>1.1313126</v>
      </c>
      <c r="D1749" s="4">
        <v>-29.106453999999999</v>
      </c>
      <c r="E1749" s="4">
        <f>((-35.3169666/(10/9))+-10.5)+-0.4</f>
        <v>-42.685269939999998</v>
      </c>
      <c r="F1749" s="4">
        <f>((-0.79977477*(1.3/1.5))*0.6)-0.3</f>
        <v>-0.71588288039999992</v>
      </c>
    </row>
    <row r="1750" spans="1:6" x14ac:dyDescent="0.4">
      <c r="A1750" s="4">
        <v>1529.6688999999999</v>
      </c>
      <c r="B1750" s="4">
        <v>1.0942647000000001</v>
      </c>
      <c r="C1750" s="4">
        <v>1.1314409000000001</v>
      </c>
      <c r="D1750" s="4">
        <v>-29.107046999999998</v>
      </c>
      <c r="E1750" s="4">
        <f>((-35.3887722/(10/9))+-10.5)+-0.4</f>
        <v>-42.749894980000001</v>
      </c>
      <c r="F1750" s="4">
        <f>((-0.800165*(1.3/1.5))*0.6)-0.3</f>
        <v>-0.71608579999999999</v>
      </c>
    </row>
    <row r="1751" spans="1:6" x14ac:dyDescent="0.4">
      <c r="A1751" s="4">
        <v>1530.543825</v>
      </c>
      <c r="B1751" s="4">
        <v>1.0945514000000001</v>
      </c>
      <c r="C1751" s="4">
        <v>1.1316763999999999</v>
      </c>
      <c r="D1751" s="4">
        <v>-29.107429</v>
      </c>
      <c r="E1751" s="4">
        <f>((-35.3293398/(10/9))+-10.5)+-0.4</f>
        <v>-42.696405819999995</v>
      </c>
      <c r="F1751" s="4">
        <f>((-0.80049521*(1.3/1.5))*0.6)-0.3</f>
        <v>-0.71625750919999998</v>
      </c>
    </row>
    <row r="1752" spans="1:6" x14ac:dyDescent="0.4">
      <c r="A1752" s="4">
        <v>1531.41875</v>
      </c>
      <c r="B1752" s="4">
        <v>1.0946364</v>
      </c>
      <c r="C1752" s="4">
        <v>1.1319238</v>
      </c>
      <c r="D1752" s="4">
        <v>-29.108017999999998</v>
      </c>
      <c r="E1752" s="4">
        <f>((-35.351937/(10/9))+-10.5)+-0.4</f>
        <v>-42.716743299999997</v>
      </c>
      <c r="F1752" s="4">
        <f>((-0.80086428*(1.3/1.5))*0.6)-0.3</f>
        <v>-0.71644942560000002</v>
      </c>
    </row>
    <row r="1753" spans="1:6" x14ac:dyDescent="0.4">
      <c r="A1753" s="4">
        <v>1532.2936750000001</v>
      </c>
      <c r="B1753" s="4">
        <v>1.0947538999999999</v>
      </c>
      <c r="C1753" s="4">
        <v>1.1321256</v>
      </c>
      <c r="D1753" s="4">
        <v>-29.108620999999999</v>
      </c>
      <c r="E1753" s="4">
        <f>((-35.3580687/(10/9))+-10.5)+-0.4</f>
        <v>-42.722261829999994</v>
      </c>
      <c r="F1753" s="4">
        <f>((-0.80117947*(1.3/1.5))*0.6)-0.3</f>
        <v>-0.71661332440000003</v>
      </c>
    </row>
    <row r="1754" spans="1:6" x14ac:dyDescent="0.4">
      <c r="A1754" s="4">
        <v>1533.1686000000002</v>
      </c>
      <c r="B1754" s="4">
        <v>1.0949378000000001</v>
      </c>
      <c r="C1754" s="4">
        <v>1.1324116</v>
      </c>
      <c r="D1754" s="4">
        <v>-29.108518</v>
      </c>
      <c r="E1754" s="4">
        <f>((-35.2851507/(10/9))+-10.5)+-0.4</f>
        <v>-42.656635630000004</v>
      </c>
      <c r="F1754" s="4">
        <f>((-0.80149055*(1.3/1.5))*0.6)-0.3</f>
        <v>-0.71677508599999995</v>
      </c>
    </row>
    <row r="1755" spans="1:6" x14ac:dyDescent="0.4">
      <c r="A1755" s="4">
        <v>1534.0435249999998</v>
      </c>
      <c r="B1755" s="4">
        <v>1.0952740999999999</v>
      </c>
      <c r="C1755" s="4">
        <v>1.1326106</v>
      </c>
      <c r="D1755" s="4">
        <v>-29.108322999999999</v>
      </c>
      <c r="E1755" s="4">
        <f>((-35.3176875/(10/9))+-10.5)+-0.4</f>
        <v>-42.685918749999992</v>
      </c>
      <c r="F1755" s="4">
        <f>((-0.80177855*(1.3/1.5))*0.6)-0.3</f>
        <v>-0.71692484599999995</v>
      </c>
    </row>
    <row r="1756" spans="1:6" x14ac:dyDescent="0.4">
      <c r="A1756" s="4">
        <v>1534.9184499999999</v>
      </c>
      <c r="B1756" s="4">
        <v>1.0953918</v>
      </c>
      <c r="C1756" s="4">
        <v>1.1326107000000001</v>
      </c>
      <c r="D1756" s="4">
        <v>-29.108706999999999</v>
      </c>
      <c r="E1756" s="4">
        <f>((-35.3539521/(10/9))+-10.5)+-0.4</f>
        <v>-42.718556889999995</v>
      </c>
      <c r="F1756" s="4">
        <f>((-0.80207306*(1.3/1.5))*0.6)-0.3</f>
        <v>-0.71707799120000004</v>
      </c>
    </row>
    <row r="1757" spans="1:6" x14ac:dyDescent="0.4">
      <c r="A1757" s="4">
        <v>1535.793375</v>
      </c>
      <c r="B1757" s="4">
        <v>1.0954858999999999</v>
      </c>
      <c r="C1757" s="4">
        <v>1.1328623</v>
      </c>
      <c r="D1757" s="4">
        <v>-29.109072999999999</v>
      </c>
      <c r="E1757" s="4">
        <f>((-35.3201526/(10/9))+-10.5)+-0.4</f>
        <v>-42.688137339999997</v>
      </c>
      <c r="F1757" s="4">
        <f>((-0.80243474*(1.3/1.5))*0.6)-0.3</f>
        <v>-0.71726606479999999</v>
      </c>
    </row>
    <row r="1758" spans="1:6" x14ac:dyDescent="0.4">
      <c r="A1758" s="4">
        <v>1536.6683</v>
      </c>
      <c r="B1758" s="4">
        <v>1.0955675</v>
      </c>
      <c r="C1758" s="4">
        <v>1.1331207999999999</v>
      </c>
      <c r="D1758" s="4">
        <v>-29.109556999999999</v>
      </c>
      <c r="E1758" s="4">
        <f>((-35.3189745/(10/9))+-10.5)+-0.4</f>
        <v>-42.687077049999999</v>
      </c>
      <c r="F1758" s="4">
        <f>((-0.802818*(1.3/1.5))*0.6)-0.3</f>
        <v>-0.71746536000000005</v>
      </c>
    </row>
    <row r="1759" spans="1:6" x14ac:dyDescent="0.4">
      <c r="A1759" s="4">
        <v>1537.5432250000001</v>
      </c>
      <c r="B1759" s="4">
        <v>1.095971</v>
      </c>
      <c r="C1759" s="4">
        <v>1.1335332</v>
      </c>
      <c r="D1759" s="4">
        <v>-29.110081999999998</v>
      </c>
      <c r="E1759" s="4">
        <f>((-35.326116/(10/9))+-10.5)+-0.4</f>
        <v>-42.693504399999995</v>
      </c>
      <c r="F1759" s="4">
        <f>((-0.8031702*(1.3/1.5))*0.6)-0.3</f>
        <v>-0.71764850399999991</v>
      </c>
    </row>
    <row r="1760" spans="1:6" x14ac:dyDescent="0.4">
      <c r="A1760" s="4">
        <v>1538.41815</v>
      </c>
      <c r="B1760" s="4">
        <v>1.0962555</v>
      </c>
      <c r="C1760" s="4">
        <v>1.1335499</v>
      </c>
      <c r="D1760" s="4">
        <v>-29.110344999999999</v>
      </c>
      <c r="E1760" s="4">
        <f>((-35.2844568/(10/9))+-10.5)+-0.4</f>
        <v>-42.656011119999995</v>
      </c>
      <c r="F1760" s="4">
        <f>((-0.80345714*(1.3/1.5))*0.6)-0.3</f>
        <v>-0.71779771279999993</v>
      </c>
    </row>
    <row r="1761" spans="1:6" x14ac:dyDescent="0.4">
      <c r="A1761" s="4">
        <v>1539.293075</v>
      </c>
      <c r="B1761" s="4">
        <v>1.0963491000000001</v>
      </c>
      <c r="C1761" s="4">
        <v>1.1339219</v>
      </c>
      <c r="D1761" s="4">
        <v>-29.110385000000001</v>
      </c>
      <c r="E1761" s="4">
        <f>((-35.316774/(10/9))+-10.5)+-0.4</f>
        <v>-42.685096600000001</v>
      </c>
      <c r="F1761" s="4">
        <f>((-0.80375975*(1.3/1.5))*0.6)-0.3</f>
        <v>-0.71795507000000003</v>
      </c>
    </row>
    <row r="1762" spans="1:6" x14ac:dyDescent="0.4">
      <c r="A1762" s="4">
        <v>1540.1679999999999</v>
      </c>
      <c r="B1762" s="4">
        <v>1.0963961</v>
      </c>
      <c r="C1762" s="4">
        <v>1.1340277999999999</v>
      </c>
      <c r="D1762" s="4">
        <v>-29.110665999999998</v>
      </c>
      <c r="E1762" s="4">
        <f>((-35.2360314/(10/9))+-10.5)+-0.4</f>
        <v>-42.612428259999994</v>
      </c>
      <c r="F1762" s="4">
        <f>((-0.80408978*(1.3/1.5))*0.6)-0.3</f>
        <v>-0.71812668559999993</v>
      </c>
    </row>
    <row r="1763" spans="1:6" x14ac:dyDescent="0.4">
      <c r="A1763" s="4">
        <v>1541.042925</v>
      </c>
      <c r="B1763" s="4">
        <v>1.0966102</v>
      </c>
      <c r="C1763" s="4">
        <v>1.1340821000000001</v>
      </c>
      <c r="D1763" s="4">
        <v>-29.110659999999999</v>
      </c>
      <c r="E1763" s="4">
        <f>((-35.2398114/(10/9))+-10.5)+-0.4</f>
        <v>-42.615830260000003</v>
      </c>
      <c r="F1763" s="4">
        <f>((-0.80441236*(1.3/1.5))*0.6)-0.3</f>
        <v>-0.71829442720000003</v>
      </c>
    </row>
    <row r="1764" spans="1:6" x14ac:dyDescent="0.4">
      <c r="A1764" s="4">
        <v>1541.91785</v>
      </c>
      <c r="B1764" s="4">
        <v>1.0967534000000001</v>
      </c>
      <c r="C1764" s="4">
        <v>1.1345642</v>
      </c>
      <c r="D1764" s="4">
        <v>-29.111166999999998</v>
      </c>
      <c r="E1764" s="4">
        <f>((-35.2608264/(10/9))+-10.5)+-0.4</f>
        <v>-42.634743759999999</v>
      </c>
      <c r="F1764" s="4">
        <f>((-0.80472273*(1.3/1.5))*0.6)-0.3</f>
        <v>-0.71845581960000005</v>
      </c>
    </row>
    <row r="1765" spans="1:6" x14ac:dyDescent="0.4">
      <c r="A1765" s="4">
        <v>1542.7927749999999</v>
      </c>
      <c r="B1765" s="4">
        <v>1.0966954</v>
      </c>
      <c r="C1765" s="4">
        <v>1.134514</v>
      </c>
      <c r="D1765" s="4">
        <v>-29.111643999999998</v>
      </c>
      <c r="E1765" s="4">
        <f>((-35.2582407/(10/9))+-10.5)+-0.4</f>
        <v>-42.632416630000002</v>
      </c>
      <c r="F1765" s="4">
        <f>((-0.80499363*(1.3/1.5))*0.6)-0.3</f>
        <v>-0.71859668760000006</v>
      </c>
    </row>
    <row r="1766" spans="1:6" x14ac:dyDescent="0.4">
      <c r="A1766" s="4">
        <v>1543.6677</v>
      </c>
      <c r="B1766" s="4">
        <v>1.0969962</v>
      </c>
      <c r="C1766" s="4">
        <v>1.1347897</v>
      </c>
      <c r="D1766" s="4">
        <v>-29.111515999999998</v>
      </c>
      <c r="E1766" s="4">
        <f>((-35.2937745/(10/9))+-10.5)+-0.4</f>
        <v>-42.664397049999998</v>
      </c>
      <c r="F1766" s="4">
        <f>((-0.80528075*(1.3/1.5))*0.6)-0.3</f>
        <v>-0.71874598999999995</v>
      </c>
    </row>
    <row r="1767" spans="1:6" x14ac:dyDescent="0.4">
      <c r="A1767" s="4">
        <v>1544.542625</v>
      </c>
      <c r="B1767" s="4">
        <v>1.09717</v>
      </c>
      <c r="C1767" s="4">
        <v>1.1348516</v>
      </c>
      <c r="D1767" s="4">
        <v>-29.111546999999998</v>
      </c>
      <c r="E1767" s="4">
        <f>((-35.2497645/(10/9))+-10.5)+-0.4</f>
        <v>-42.624788049999999</v>
      </c>
      <c r="F1767" s="4">
        <f>((-0.80556083*(1.3/1.5))*0.6)-0.3</f>
        <v>-0.71889163160000003</v>
      </c>
    </row>
    <row r="1768" spans="1:6" x14ac:dyDescent="0.4">
      <c r="A1768" s="4">
        <v>1545.4175500000001</v>
      </c>
      <c r="B1768" s="4">
        <v>1.0972151000000001</v>
      </c>
      <c r="C1768" s="4">
        <v>1.1350098</v>
      </c>
      <c r="D1768" s="4">
        <v>-29.111982999999999</v>
      </c>
      <c r="E1768" s="4">
        <f>((-35.2686159/(10/9))+-10.5)+-0.4</f>
        <v>-42.641754309999996</v>
      </c>
      <c r="F1768" s="4">
        <f>((-0.80585855*(1.3/1.5))*0.6)-0.3</f>
        <v>-0.71904644599999989</v>
      </c>
    </row>
    <row r="1769" spans="1:6" x14ac:dyDescent="0.4">
      <c r="A1769" s="4">
        <v>1546.2924750000002</v>
      </c>
      <c r="B1769" s="4">
        <v>1.0977287</v>
      </c>
      <c r="C1769" s="4">
        <v>1.1353484</v>
      </c>
      <c r="D1769" s="4">
        <v>-29.112223999999998</v>
      </c>
      <c r="E1769" s="4">
        <f>((-35.2037214/(10/9))+-10.5)+-0.4</f>
        <v>-42.583349259999999</v>
      </c>
      <c r="F1769" s="4">
        <f>((-0.80609947*(1.3/1.5))*0.6)-0.3</f>
        <v>-0.71917172439999999</v>
      </c>
    </row>
    <row r="1770" spans="1:6" x14ac:dyDescent="0.4">
      <c r="A1770" s="4">
        <v>1547.1673999999998</v>
      </c>
      <c r="B1770" s="4">
        <v>1.0975978</v>
      </c>
      <c r="C1770" s="4">
        <v>1.1356803</v>
      </c>
      <c r="D1770" s="4">
        <v>-29.112144000000001</v>
      </c>
      <c r="E1770" s="4">
        <f>((-35.2240353/(10/9))+-10.5)+-0.4</f>
        <v>-42.60163176999999</v>
      </c>
      <c r="F1770" s="4">
        <f>((-0.8063789*(1.3/1.5))*0.6)-0.3</f>
        <v>-0.71931702799999997</v>
      </c>
    </row>
    <row r="1771" spans="1:6" x14ac:dyDescent="0.4">
      <c r="A1771" s="4">
        <v>1548.0423249999999</v>
      </c>
      <c r="B1771" s="4">
        <v>1.0979698</v>
      </c>
      <c r="C1771" s="4">
        <v>1.1355744999999999</v>
      </c>
      <c r="D1771" s="4">
        <v>-29.112497999999999</v>
      </c>
      <c r="E1771" s="4">
        <f>((-35.2254231/(10/9))+-10.5)+-0.4</f>
        <v>-42.602880789999993</v>
      </c>
      <c r="F1771" s="4">
        <f>((-0.80673426*(1.3/1.5))*0.6)-0.3</f>
        <v>-0.71950181520000001</v>
      </c>
    </row>
    <row r="1772" spans="1:6" x14ac:dyDescent="0.4">
      <c r="A1772" s="4">
        <v>1548.91725</v>
      </c>
      <c r="B1772" s="4">
        <v>1.0980661</v>
      </c>
      <c r="C1772" s="4">
        <v>1.1359170999999999</v>
      </c>
      <c r="D1772" s="4">
        <v>-29.113106999999999</v>
      </c>
      <c r="E1772" s="4">
        <f>((-35.1935658/(10/9))+-10.5)+-0.4</f>
        <v>-42.57420922</v>
      </c>
      <c r="F1772" s="4">
        <f>((-0.80710977*(1.3/1.5))*0.6)-0.3</f>
        <v>-0.71969708040000002</v>
      </c>
    </row>
    <row r="1773" spans="1:6" x14ac:dyDescent="0.4">
      <c r="A1773" s="4">
        <v>1549.792175</v>
      </c>
      <c r="B1773" s="4">
        <v>1.0983229999999999</v>
      </c>
      <c r="C1773" s="4">
        <v>1.1361616000000001</v>
      </c>
      <c r="D1773" s="4">
        <v>-29.113519</v>
      </c>
      <c r="E1773" s="4">
        <f>((-35.2351386/(10/9))+-10.5)+-0.4</f>
        <v>-42.611624739999996</v>
      </c>
      <c r="F1773" s="4">
        <f>((-0.8075124*(1.3/1.5))*0.6)-0.3</f>
        <v>-0.71990644800000003</v>
      </c>
    </row>
    <row r="1774" spans="1:6" x14ac:dyDescent="0.4">
      <c r="A1774" s="4">
        <v>1550.6671000000001</v>
      </c>
      <c r="B1774" s="4">
        <v>1.0983852999999999</v>
      </c>
      <c r="C1774" s="4">
        <v>1.1362776999999999</v>
      </c>
      <c r="D1774" s="4">
        <v>-29.113782</v>
      </c>
      <c r="E1774" s="4">
        <f>((-35.1951309/(10/9))+-10.5)+-0.4</f>
        <v>-42.575617810000004</v>
      </c>
      <c r="F1774" s="4">
        <f>((-0.80783272*(1.3/1.5))*0.6)-0.3</f>
        <v>-0.72007301439999993</v>
      </c>
    </row>
    <row r="1775" spans="1:6" x14ac:dyDescent="0.4">
      <c r="A1775" s="4">
        <v>1551.542025</v>
      </c>
      <c r="B1775" s="4">
        <v>1.0985687</v>
      </c>
      <c r="C1775" s="4">
        <v>1.1365848999999999</v>
      </c>
      <c r="D1775" s="4">
        <v>-29.113455999999999</v>
      </c>
      <c r="E1775" s="4">
        <f>((-35.2355985/(10/9))+-10.5)+-0.4</f>
        <v>-42.612038649999995</v>
      </c>
      <c r="F1775" s="4">
        <f>((-0.80813545*(1.3/1.5))*0.6)-0.3</f>
        <v>-0.72023043399999997</v>
      </c>
    </row>
    <row r="1776" spans="1:6" x14ac:dyDescent="0.4">
      <c r="A1776" s="4">
        <v>1552.41695</v>
      </c>
      <c r="B1776" s="4">
        <v>1.0986741</v>
      </c>
      <c r="C1776" s="4">
        <v>1.1365978999999999</v>
      </c>
      <c r="D1776" s="4">
        <v>-29.113434999999999</v>
      </c>
      <c r="E1776" s="4">
        <f>((-35.2075491/(10/9))+-10.5)+-0.4</f>
        <v>-42.586794189999999</v>
      </c>
      <c r="F1776" s="4">
        <f>((-0.80856305*(1.3/1.5))*0.6)-0.3</f>
        <v>-0.72045278599999996</v>
      </c>
    </row>
    <row r="1777" spans="1:6" x14ac:dyDescent="0.4">
      <c r="A1777" s="4">
        <v>1553.2918749999999</v>
      </c>
      <c r="B1777" s="4">
        <v>1.0989561000000001</v>
      </c>
      <c r="C1777" s="4">
        <v>1.1368933000000001</v>
      </c>
      <c r="D1777" s="4">
        <v>-29.113545999999999</v>
      </c>
      <c r="E1777" s="4">
        <f>((-35.1969372/(10/9))+-10.5)+-0.4</f>
        <v>-42.57724348</v>
      </c>
      <c r="F1777" s="4">
        <f>((-0.80901825*(1.3/1.5))*0.6)-0.3</f>
        <v>-0.72068949000000004</v>
      </c>
    </row>
    <row r="1778" spans="1:6" x14ac:dyDescent="0.4">
      <c r="A1778" s="4">
        <v>1554.1668</v>
      </c>
      <c r="B1778" s="4">
        <v>1.0988818</v>
      </c>
      <c r="C1778" s="4">
        <v>1.1371559</v>
      </c>
      <c r="D1778" s="4">
        <v>-29.114061</v>
      </c>
      <c r="E1778" s="4">
        <f>((-35.180523/(10/9))+-10.5)+-0.4</f>
        <v>-42.562470699999999</v>
      </c>
      <c r="F1778" s="4">
        <f>((-0.80933839*(1.3/1.5))*0.6)-0.3</f>
        <v>-0.72085596279999997</v>
      </c>
    </row>
    <row r="1779" spans="1:6" x14ac:dyDescent="0.4">
      <c r="A1779" s="4">
        <v>1555.041725</v>
      </c>
      <c r="B1779" s="4">
        <v>1.0991881999999999</v>
      </c>
      <c r="C1779" s="4">
        <v>1.1371656999999999</v>
      </c>
      <c r="D1779" s="4">
        <v>-29.114262999999998</v>
      </c>
      <c r="E1779" s="4">
        <f>((-35.1964323/(10/9))+-10.5)+-0.4</f>
        <v>-42.576789069999997</v>
      </c>
      <c r="F1779" s="4">
        <f>((-0.80973631*(1.3/1.5))*0.6)-0.3</f>
        <v>-0.72106288119999995</v>
      </c>
    </row>
    <row r="1780" spans="1:6" x14ac:dyDescent="0.4">
      <c r="A1780" s="4">
        <v>1555.9166499999999</v>
      </c>
      <c r="B1780" s="4">
        <v>1.0992093000000001</v>
      </c>
      <c r="C1780" s="4">
        <v>1.1373069</v>
      </c>
      <c r="D1780" s="4">
        <v>-29.114599999999999</v>
      </c>
      <c r="E1780" s="4">
        <f>((-35.171658/(10/9))+-10.5)+-0.4</f>
        <v>-42.554492199999999</v>
      </c>
      <c r="F1780" s="4">
        <f>((-0.81013429*(1.3/1.5))*0.6)-0.3</f>
        <v>-0.72126983080000007</v>
      </c>
    </row>
    <row r="1781" spans="1:6" x14ac:dyDescent="0.4">
      <c r="A1781" s="4">
        <v>1556.791575</v>
      </c>
      <c r="B1781" s="4">
        <v>1.0995182999999999</v>
      </c>
      <c r="C1781" s="4">
        <v>1.137478</v>
      </c>
      <c r="D1781" s="4">
        <v>-29.114571999999999</v>
      </c>
      <c r="E1781" s="4">
        <f>((-35.1935622/(10/9))+-10.5)+-0.4</f>
        <v>-42.574205979999995</v>
      </c>
      <c r="F1781" s="4">
        <f>((-0.8104828*(1.3/1.5))*0.6)-0.3</f>
        <v>-0.72145105600000003</v>
      </c>
    </row>
    <row r="1782" spans="1:6" x14ac:dyDescent="0.4">
      <c r="A1782" s="4">
        <v>1557.6665</v>
      </c>
      <c r="B1782" s="4">
        <v>1.0994771999999999</v>
      </c>
      <c r="C1782" s="4">
        <v>1.1377062</v>
      </c>
      <c r="D1782" s="4">
        <v>-29.114775999999999</v>
      </c>
      <c r="E1782" s="4">
        <f>((-35.1634734/(10/9))+-10.5)+-0.4</f>
        <v>-42.547126059999997</v>
      </c>
      <c r="F1782" s="4">
        <f>((-0.8108514*(1.3/1.5))*0.6)-0.3</f>
        <v>-0.72164272799999996</v>
      </c>
    </row>
    <row r="1783" spans="1:6" x14ac:dyDescent="0.4">
      <c r="A1783" s="4">
        <v>1558.5414250000001</v>
      </c>
      <c r="B1783" s="4">
        <v>1.0997748000000001</v>
      </c>
      <c r="C1783" s="4">
        <v>1.1378971</v>
      </c>
      <c r="D1783" s="4">
        <v>-29.115189999999998</v>
      </c>
      <c r="E1783" s="4">
        <f>((-35.1534276/(10/9))+-10.5)+-0.4</f>
        <v>-42.538084839999996</v>
      </c>
      <c r="F1783" s="4">
        <f>((-0.81129366*(1.3/1.5))*0.6)-0.3</f>
        <v>-0.72187270319999997</v>
      </c>
    </row>
    <row r="1784" spans="1:6" x14ac:dyDescent="0.4">
      <c r="A1784" s="4">
        <v>1559.4163500000002</v>
      </c>
      <c r="B1784" s="4">
        <v>1.1000563999999999</v>
      </c>
      <c r="C1784" s="4">
        <v>1.1380364000000001</v>
      </c>
      <c r="D1784" s="4">
        <v>-29.115629999999999</v>
      </c>
      <c r="E1784" s="4">
        <f>((-35.1603531/(10/9))+-10.5)+-0.4</f>
        <v>-42.544317790000001</v>
      </c>
      <c r="F1784" s="4">
        <f>((-0.81175828*(1.3/1.5))*0.6)-0.3</f>
        <v>-0.72211430560000012</v>
      </c>
    </row>
    <row r="1785" spans="1:6" x14ac:dyDescent="0.4">
      <c r="A1785" s="4">
        <v>1560.2912749999998</v>
      </c>
      <c r="B1785" s="4">
        <v>1.100352</v>
      </c>
      <c r="C1785" s="4">
        <v>1.1383691</v>
      </c>
      <c r="D1785" s="4">
        <v>-29.116202999999999</v>
      </c>
      <c r="E1785" s="4">
        <f>((-35.1706626/(10/9))+-10.5)+-0.4</f>
        <v>-42.553596339999999</v>
      </c>
      <c r="F1785" s="4">
        <f>((-0.81214297*(1.3/1.5))*0.6)-0.3</f>
        <v>-0.72231434439999997</v>
      </c>
    </row>
    <row r="1786" spans="1:6" x14ac:dyDescent="0.4">
      <c r="A1786" s="4">
        <v>1561.1661999999999</v>
      </c>
      <c r="B1786" s="4">
        <v>1.1004007</v>
      </c>
      <c r="C1786" s="4">
        <v>1.1384017</v>
      </c>
      <c r="D1786" s="4">
        <v>-29.116617999999999</v>
      </c>
      <c r="E1786" s="4">
        <f>((-35.1667143/(10/9))+-10.5)+-0.4</f>
        <v>-42.550042869999999</v>
      </c>
      <c r="F1786" s="4">
        <f>((-0.81260824*(1.3/1.5))*0.6)-0.3</f>
        <v>-0.7225562848</v>
      </c>
    </row>
    <row r="1787" spans="1:6" x14ac:dyDescent="0.4">
      <c r="A1787" s="4">
        <v>1562.041125</v>
      </c>
      <c r="B1787" s="4">
        <v>1.1004951999999999</v>
      </c>
      <c r="C1787" s="4">
        <v>1.1386795000000001</v>
      </c>
      <c r="D1787" s="4">
        <v>-29.116758999999998</v>
      </c>
      <c r="E1787" s="4">
        <f>((-35.1010746/(10/9))+-10.5)+-0.4</f>
        <v>-42.490967139999995</v>
      </c>
      <c r="F1787" s="4">
        <f>((-0.81316793*(1.3/1.5))*0.6)-0.3</f>
        <v>-0.72284732360000004</v>
      </c>
    </row>
    <row r="1788" spans="1:6" x14ac:dyDescent="0.4">
      <c r="A1788" s="4">
        <v>1562.91605</v>
      </c>
      <c r="B1788" s="4">
        <v>1.100614</v>
      </c>
      <c r="C1788" s="4">
        <v>1.1389878</v>
      </c>
      <c r="D1788" s="4">
        <v>-29.117114000000001</v>
      </c>
      <c r="E1788" s="4">
        <f>((-35.1363789/(10/9))+-10.5)+-0.4</f>
        <v>-42.522741009999997</v>
      </c>
      <c r="F1788" s="4">
        <f>((-0.81363875*(1.3/1.5))*0.6)-0.3</f>
        <v>-0.72309215000000004</v>
      </c>
    </row>
    <row r="1789" spans="1:6" x14ac:dyDescent="0.4">
      <c r="A1789" s="4">
        <v>1563.7909750000001</v>
      </c>
      <c r="B1789" s="4">
        <v>1.100625</v>
      </c>
      <c r="C1789" s="4">
        <v>1.1388354000000001</v>
      </c>
      <c r="D1789" s="4">
        <v>-29.117319999999999</v>
      </c>
      <c r="E1789" s="4">
        <f>((-35.1367182/(10/9))+-10.5)+-0.4</f>
        <v>-42.52304637999999</v>
      </c>
      <c r="F1789" s="4">
        <f>((-0.81408834*(1.3/1.5))*0.6)-0.3</f>
        <v>-0.72332593680000001</v>
      </c>
    </row>
    <row r="1790" spans="1:6" x14ac:dyDescent="0.4">
      <c r="A1790" s="4">
        <v>1564.6659</v>
      </c>
      <c r="B1790" s="4">
        <v>1.100976</v>
      </c>
      <c r="C1790" s="4">
        <v>1.1392679000000001</v>
      </c>
      <c r="D1790" s="4">
        <v>-29.117516999999999</v>
      </c>
      <c r="E1790" s="4">
        <f>((-35.1193185/(10/9))+-10.5)+-0.4</f>
        <v>-42.507386649999994</v>
      </c>
      <c r="F1790" s="4">
        <f>((-0.81465024*(1.3/1.5))*0.6)-0.3</f>
        <v>-0.72361812479999998</v>
      </c>
    </row>
    <row r="1791" spans="1:6" x14ac:dyDescent="0.4">
      <c r="A1791" s="4">
        <v>1565.540825</v>
      </c>
      <c r="B1791" s="4">
        <v>1.1010367000000001</v>
      </c>
      <c r="C1791" s="4">
        <v>1.1395575</v>
      </c>
      <c r="D1791" s="4">
        <v>-29.117833000000001</v>
      </c>
      <c r="E1791" s="4">
        <f>((-35.1064719/(10/9))+-10.5)+-0.4</f>
        <v>-42.495824710000001</v>
      </c>
      <c r="F1791" s="4">
        <f>((-0.81524599*(1.3/1.5))*0.6)-0.3</f>
        <v>-0.72392791479999996</v>
      </c>
    </row>
    <row r="1792" spans="1:6" x14ac:dyDescent="0.4">
      <c r="A1792" s="4">
        <v>1566.4157499999999</v>
      </c>
      <c r="B1792" s="4">
        <v>1.1013546999999999</v>
      </c>
      <c r="C1792" s="4">
        <v>1.1396322999999999</v>
      </c>
      <c r="D1792" s="4">
        <v>-29.118037000000001</v>
      </c>
      <c r="E1792" s="4">
        <f>((-35.1288009/(10/9))+-10.5)+-0.4</f>
        <v>-42.515920809999997</v>
      </c>
      <c r="F1792" s="4">
        <f>((-0.81582618*(1.3/1.5))*0.6)-0.3</f>
        <v>-0.72422961359999993</v>
      </c>
    </row>
    <row r="1793" spans="1:6" x14ac:dyDescent="0.4">
      <c r="A1793" s="4">
        <v>1567.290675</v>
      </c>
      <c r="B1793" s="4">
        <v>1.1011436999999999</v>
      </c>
      <c r="C1793" s="4">
        <v>1.1399136999999999</v>
      </c>
      <c r="D1793" s="4">
        <v>-29.118451</v>
      </c>
      <c r="E1793" s="4">
        <f>((-35.1185121/(10/9))+-10.5)+-0.4</f>
        <v>-42.506660889999999</v>
      </c>
      <c r="F1793" s="4">
        <f>((-0.81639445*(1.3/1.5))*0.6)-0.3</f>
        <v>-0.72452511399999997</v>
      </c>
    </row>
    <row r="1794" spans="1:6" x14ac:dyDescent="0.4">
      <c r="A1794" s="4">
        <v>1568.1656</v>
      </c>
      <c r="B1794" s="4">
        <v>1.1016444999999999</v>
      </c>
      <c r="C1794" s="4">
        <v>1.1400865</v>
      </c>
      <c r="D1794" s="4">
        <v>-29.118676000000001</v>
      </c>
      <c r="E1794" s="4">
        <f>((-35.1177192/(10/9))+-10.5)+-0.4</f>
        <v>-42.505947280000001</v>
      </c>
      <c r="F1794" s="4">
        <f>((-0.81702173*(1.3/1.5))*0.6)-0.3</f>
        <v>-0.72485129959999994</v>
      </c>
    </row>
    <row r="1795" spans="1:6" x14ac:dyDescent="0.4">
      <c r="A1795" s="4">
        <v>1569.0405249999999</v>
      </c>
      <c r="B1795" s="4">
        <v>1.1017338000000001</v>
      </c>
      <c r="C1795" s="4">
        <v>1.1403127</v>
      </c>
      <c r="D1795" s="4">
        <v>-29.11918</v>
      </c>
      <c r="E1795" s="4">
        <f>((-35.0415081/(10/9))+-10.5)+-0.4</f>
        <v>-42.437357290000001</v>
      </c>
      <c r="F1795" s="4">
        <f>((-0.81761229*(1.3/1.5))*0.6)-0.3</f>
        <v>-0.7251583908</v>
      </c>
    </row>
    <row r="1796" spans="1:6" x14ac:dyDescent="0.4">
      <c r="A1796" s="4">
        <v>1569.91545</v>
      </c>
      <c r="B1796" s="4">
        <v>1.101915</v>
      </c>
      <c r="C1796" s="4">
        <v>1.1404394</v>
      </c>
      <c r="D1796" s="4">
        <v>-29.119422</v>
      </c>
      <c r="E1796" s="4">
        <f>((-35.1283617/(10/9))+-10.5)+-0.4</f>
        <v>-42.515525529999998</v>
      </c>
      <c r="F1796" s="4">
        <f>((-0.81816989*(1.3/1.5))*0.6)-0.3</f>
        <v>-0.72544834280000003</v>
      </c>
    </row>
    <row r="1797" spans="1:6" x14ac:dyDescent="0.4">
      <c r="A1797" s="4">
        <v>1570.790375</v>
      </c>
      <c r="B1797" s="4">
        <v>1.1018299</v>
      </c>
      <c r="C1797" s="4">
        <v>1.1406353</v>
      </c>
      <c r="D1797" s="4">
        <v>-29.119682999999998</v>
      </c>
      <c r="E1797" s="4">
        <f>((-35.0702064/(10/9))+-10.5)+-0.4</f>
        <v>-42.463185759999995</v>
      </c>
      <c r="F1797" s="4">
        <f>((-0.8187654*(1.3/1.5))*0.6)-0.3</f>
        <v>-0.7257580079999999</v>
      </c>
    </row>
    <row r="1798" spans="1:6" x14ac:dyDescent="0.4">
      <c r="A1798" s="4">
        <v>1571.6653000000001</v>
      </c>
      <c r="B1798" s="4">
        <v>1.1020809</v>
      </c>
      <c r="C1798" s="4">
        <v>1.1406970999999999</v>
      </c>
      <c r="D1798" s="4">
        <v>-29.119883999999999</v>
      </c>
      <c r="E1798" s="4">
        <f>((-35.0925291/(10/9))+-10.5)+-0.4</f>
        <v>-42.483276189999998</v>
      </c>
      <c r="F1798" s="4">
        <f>((-0.81938535*(1.3/1.5))*0.6)-0.3</f>
        <v>-0.72608038199999991</v>
      </c>
    </row>
    <row r="1799" spans="1:6" x14ac:dyDescent="0.4">
      <c r="A1799" s="4">
        <v>1572.5402250000002</v>
      </c>
      <c r="B1799" s="4">
        <v>1.1023400999999999</v>
      </c>
      <c r="C1799" s="4">
        <v>1.1409906000000001</v>
      </c>
      <c r="D1799" s="4">
        <v>-29.120362</v>
      </c>
      <c r="E1799" s="4">
        <f>((-35.07309/(10/9))+-10.5)+-0.4</f>
        <v>-42.465781</v>
      </c>
      <c r="F1799" s="4">
        <f>((-0.8200531*(1.3/1.5))*0.6)-0.3</f>
        <v>-0.72642761199999994</v>
      </c>
    </row>
    <row r="1800" spans="1:6" x14ac:dyDescent="0.4">
      <c r="A1800" s="4">
        <v>1573.4151499999998</v>
      </c>
      <c r="B1800" s="4">
        <v>1.1025193</v>
      </c>
      <c r="C1800" s="4">
        <v>1.1411878</v>
      </c>
      <c r="D1800" s="4">
        <v>-29.12079</v>
      </c>
      <c r="E1800" s="4">
        <f>((-35.0800425/(10/9))+-10.5)+-0.4</f>
        <v>-42.47203824999999</v>
      </c>
      <c r="F1800" s="4">
        <f>((-0.82075649*(1.3/1.5))*0.6)-0.3</f>
        <v>-0.72679337479999995</v>
      </c>
    </row>
    <row r="1801" spans="1:6" x14ac:dyDescent="0.4">
      <c r="A1801" s="4">
        <v>1574.2900749999999</v>
      </c>
      <c r="B1801" s="4">
        <v>1.1025326</v>
      </c>
      <c r="C1801" s="4">
        <v>1.1413515000000001</v>
      </c>
      <c r="D1801" s="4">
        <v>-29.121078000000001</v>
      </c>
      <c r="E1801" s="4">
        <f>((-35.0704431/(10/9))+-10.5)+-0.4</f>
        <v>-42.463398789999992</v>
      </c>
      <c r="F1801" s="4">
        <f>((-0.82148796*(1.3/1.5))*0.6)-0.3</f>
        <v>-0.72717373919999995</v>
      </c>
    </row>
    <row r="1802" spans="1:6" x14ac:dyDescent="0.4">
      <c r="A1802" s="4">
        <v>1575.165</v>
      </c>
      <c r="B1802" s="4">
        <v>1.1026009000000001</v>
      </c>
      <c r="C1802" s="4">
        <v>1.1413268000000001</v>
      </c>
      <c r="D1802" s="4">
        <v>-29.121658</v>
      </c>
      <c r="E1802" s="4">
        <f>((-35.0216604/(10/9))+-10.5)+-0.4</f>
        <v>-42.419494359999995</v>
      </c>
      <c r="F1802" s="4">
        <f>((-0.82218355*(1.3/1.5))*0.6)-0.3</f>
        <v>-0.72753544599999997</v>
      </c>
    </row>
    <row r="1803" spans="1:6" x14ac:dyDescent="0.4">
      <c r="A1803" s="4">
        <v>1576.039925</v>
      </c>
      <c r="B1803" s="4">
        <v>1.1029369</v>
      </c>
      <c r="C1803" s="4">
        <v>1.1416788</v>
      </c>
      <c r="D1803" s="4">
        <v>-29.122207</v>
      </c>
      <c r="E1803" s="4">
        <f>((-35.0471178/(10/9))+-10.5)+-0.4</f>
        <v>-42.44240602</v>
      </c>
      <c r="F1803" s="4">
        <f>((-0.82292604*(1.3/1.5))*0.6)-0.3</f>
        <v>-0.72792154079999993</v>
      </c>
    </row>
    <row r="1804" spans="1:6" x14ac:dyDescent="0.4">
      <c r="A1804" s="4">
        <v>1576.9148500000001</v>
      </c>
      <c r="B1804" s="4">
        <v>1.1031042</v>
      </c>
      <c r="C1804" s="4">
        <v>1.1417527999999999</v>
      </c>
      <c r="D1804" s="4">
        <v>-29.122564000000001</v>
      </c>
      <c r="E1804" s="4">
        <f>((-35.0256222/(10/9))+-10.5)+-0.4</f>
        <v>-42.423059979999998</v>
      </c>
      <c r="F1804" s="4">
        <f>((-0.82365644*(1.3/1.5))*0.6)-0.3</f>
        <v>-0.72830134879999997</v>
      </c>
    </row>
    <row r="1805" spans="1:6" x14ac:dyDescent="0.4">
      <c r="A1805" s="4">
        <v>1577.789775</v>
      </c>
      <c r="B1805" s="4">
        <v>1.1031314000000001</v>
      </c>
      <c r="C1805" s="4">
        <v>1.1418732</v>
      </c>
      <c r="D1805" s="4">
        <v>-29.122861</v>
      </c>
      <c r="E1805" s="4">
        <f>((-35.0355312/(10/9))+-10.5)+-0.4</f>
        <v>-42.43197808</v>
      </c>
      <c r="F1805" s="4">
        <f>((-0.82431346*(1.3/1.5))*0.6)-0.3</f>
        <v>-0.72864299920000009</v>
      </c>
    </row>
    <row r="1806" spans="1:6" x14ac:dyDescent="0.4">
      <c r="A1806" s="4">
        <v>1578.6647</v>
      </c>
      <c r="B1806" s="4">
        <v>1.1033656999999999</v>
      </c>
      <c r="C1806" s="4">
        <v>1.1423068000000001</v>
      </c>
      <c r="D1806" s="4">
        <v>-29.123389</v>
      </c>
      <c r="E1806" s="4">
        <f>((-35.0207676/(10/9))+-10.5)+-0.4</f>
        <v>-42.418690839999996</v>
      </c>
      <c r="F1806" s="4">
        <f>((-0.82502866*(1.3/1.5))*0.6)-0.3</f>
        <v>-0.72901490319999995</v>
      </c>
    </row>
    <row r="1807" spans="1:6" x14ac:dyDescent="0.4">
      <c r="A1807" s="4">
        <v>1579.5396249999999</v>
      </c>
      <c r="B1807" s="4">
        <v>1.1035453</v>
      </c>
      <c r="C1807" s="4">
        <v>1.1423713</v>
      </c>
      <c r="D1807" s="4">
        <v>-29.123861999999999</v>
      </c>
      <c r="E1807" s="4">
        <f>((-35.0111862/(10/9))+-10.5)+-0.4</f>
        <v>-42.410067579999996</v>
      </c>
      <c r="F1807" s="4">
        <f>((-0.82583737*(1.3/1.5))*0.6)-0.3</f>
        <v>-0.72943543240000008</v>
      </c>
    </row>
    <row r="1808" spans="1:6" x14ac:dyDescent="0.4">
      <c r="A1808" s="4">
        <v>1580.41455</v>
      </c>
      <c r="B1808" s="4">
        <v>1.1036444999999999</v>
      </c>
      <c r="C1808" s="4">
        <v>1.1426871999999999</v>
      </c>
      <c r="D1808" s="4">
        <v>-29.124419</v>
      </c>
      <c r="E1808" s="4">
        <f>((-35.0300106/(10/9))+-10.5)+-0.4</f>
        <v>-42.427009539999993</v>
      </c>
      <c r="F1808" s="4">
        <f>((-0.82659352*(1.3/1.5))*0.6)-0.3</f>
        <v>-0.72982863040000001</v>
      </c>
    </row>
    <row r="1809" spans="1:6" x14ac:dyDescent="0.4">
      <c r="A1809" s="4">
        <v>1581.289475</v>
      </c>
      <c r="B1809" s="4">
        <v>1.1037182999999999</v>
      </c>
      <c r="C1809" s="4">
        <v>1.1427103999999999</v>
      </c>
      <c r="D1809" s="4">
        <v>-29.124931999999998</v>
      </c>
      <c r="E1809" s="4">
        <f>((-35.0110485/(10/9))+-10.5)+-0.4</f>
        <v>-42.409943649999995</v>
      </c>
      <c r="F1809" s="4">
        <f>((-0.82736772*(1.3/1.5))*0.6)-0.3</f>
        <v>-0.73023121440000005</v>
      </c>
    </row>
    <row r="1810" spans="1:6" x14ac:dyDescent="0.4">
      <c r="A1810" s="4">
        <v>1582.1643999999999</v>
      </c>
      <c r="B1810" s="4">
        <v>1.103918</v>
      </c>
      <c r="C1810" s="4">
        <v>1.1426742999999999</v>
      </c>
      <c r="D1810" s="4">
        <v>-29.125297</v>
      </c>
      <c r="E1810" s="4">
        <f>((-35.0208774/(10/9))+-10.5)+-0.4</f>
        <v>-42.418789660000002</v>
      </c>
      <c r="F1810" s="4">
        <f>((-0.82810658*(1.3/1.5))*0.6)-0.3</f>
        <v>-0.73061542160000004</v>
      </c>
    </row>
    <row r="1811" spans="1:6" x14ac:dyDescent="0.4">
      <c r="A1811" s="4">
        <v>1583.039325</v>
      </c>
      <c r="B1811" s="4">
        <v>1.1040174</v>
      </c>
      <c r="C1811" s="4">
        <v>1.1428301000000001</v>
      </c>
      <c r="D1811" s="4">
        <v>-29.125761999999998</v>
      </c>
      <c r="E1811" s="4">
        <f>((-35.0177121/(10/9))+-10.5)+-0.4</f>
        <v>-42.415940889999995</v>
      </c>
      <c r="F1811" s="4">
        <f>((-0.82882917*(1.3/1.5))*0.6)-0.3</f>
        <v>-0.7309911684</v>
      </c>
    </row>
    <row r="1812" spans="1:6" x14ac:dyDescent="0.4">
      <c r="A1812" s="4">
        <v>1583.91425</v>
      </c>
      <c r="B1812" s="4">
        <v>1.1040679</v>
      </c>
      <c r="C1812" s="4">
        <v>1.1430615</v>
      </c>
      <c r="D1812" s="4">
        <v>-29.125834999999999</v>
      </c>
      <c r="E1812" s="4">
        <f>((-35.0169399/(10/9))+-10.5)+-0.4</f>
        <v>-42.415245909999996</v>
      </c>
      <c r="F1812" s="4">
        <f>((-0.82955617*(1.3/1.5))*0.6)-0.3</f>
        <v>-0.73136920840000008</v>
      </c>
    </row>
    <row r="1813" spans="1:6" x14ac:dyDescent="0.4">
      <c r="A1813" s="4">
        <v>1584.7891750000001</v>
      </c>
      <c r="B1813" s="4">
        <v>1.1042637</v>
      </c>
      <c r="C1813" s="4">
        <v>1.1432359999999999</v>
      </c>
      <c r="D1813" s="4">
        <v>-29.125961</v>
      </c>
      <c r="E1813" s="4">
        <f>((-34.9581078/(10/9))+-10.5)+-0.4</f>
        <v>-42.362297019999993</v>
      </c>
      <c r="F1813" s="4">
        <f>((-0.83033592*(1.3/1.5))*0.6)-0.3</f>
        <v>-0.73177467839999999</v>
      </c>
    </row>
    <row r="1814" spans="1:6" x14ac:dyDescent="0.4">
      <c r="A1814" s="4">
        <v>1585.6641000000002</v>
      </c>
      <c r="B1814" s="4">
        <v>1.1044655999999999</v>
      </c>
      <c r="C1814" s="4">
        <v>1.1435515000000001</v>
      </c>
      <c r="D1814" s="4">
        <v>-29.126234999999998</v>
      </c>
      <c r="E1814" s="4">
        <f>((-34.9601544/(10/9))+-10.5)+-0.4</f>
        <v>-42.364138959999998</v>
      </c>
      <c r="F1814" s="4">
        <f>((-0.83119297*(1.3/1.5))*0.6)-0.3</f>
        <v>-0.73222034439999995</v>
      </c>
    </row>
    <row r="1815" spans="1:6" x14ac:dyDescent="0.4">
      <c r="A1815" s="4">
        <v>1586.5390249999998</v>
      </c>
      <c r="B1815" s="4">
        <v>1.1045437</v>
      </c>
      <c r="C1815" s="4">
        <v>1.1437439</v>
      </c>
      <c r="D1815" s="4">
        <v>-29.126709999999999</v>
      </c>
      <c r="E1815" s="4">
        <f>((-34.9810245/(10/9))+-10.5)+-0.4</f>
        <v>-42.382922049999998</v>
      </c>
      <c r="F1815" s="4">
        <f>((-0.83202887*(1.3/1.5))*0.6)-0.3</f>
        <v>-0.73265501239999997</v>
      </c>
    </row>
    <row r="1816" spans="1:6" x14ac:dyDescent="0.4">
      <c r="A1816" s="4">
        <v>1587.4139499999999</v>
      </c>
      <c r="B1816" s="4">
        <v>1.1049663999999999</v>
      </c>
      <c r="C1816" s="4">
        <v>1.143886</v>
      </c>
      <c r="D1816" s="4">
        <v>-29.127482999999998</v>
      </c>
      <c r="E1816" s="4">
        <f>((-34.9468605/(10/9))+-10.5)+-0.4</f>
        <v>-42.35217445</v>
      </c>
      <c r="F1816" s="4">
        <f>((-0.83284897*(1.3/1.5))*0.6)-0.3</f>
        <v>-0.73308146439999999</v>
      </c>
    </row>
    <row r="1817" spans="1:6" x14ac:dyDescent="0.4">
      <c r="A1817" s="4">
        <v>1588.288875</v>
      </c>
      <c r="B1817" s="4">
        <v>1.1049526999999999</v>
      </c>
      <c r="C1817" s="4">
        <v>1.1443063</v>
      </c>
      <c r="D1817" s="4">
        <v>-29.127958</v>
      </c>
      <c r="E1817" s="4">
        <f>((-34.9633503/(10/9))+-10.5)+-0.4</f>
        <v>-42.367015270000003</v>
      </c>
      <c r="F1817" s="4">
        <f>((-0.8336305*(1.3/1.5))*0.6)-0.3</f>
        <v>-0.73348785999999999</v>
      </c>
    </row>
    <row r="1818" spans="1:6" x14ac:dyDescent="0.4">
      <c r="A1818" s="4">
        <v>1589.1638</v>
      </c>
      <c r="B1818" s="4">
        <v>1.1051219000000001</v>
      </c>
      <c r="C1818" s="4">
        <v>1.1443306</v>
      </c>
      <c r="D1818" s="4">
        <v>-29.128147999999999</v>
      </c>
      <c r="E1818" s="4">
        <f>((-34.9164558/(10/9))+-10.5)+-0.4</f>
        <v>-42.324810219999996</v>
      </c>
      <c r="F1818" s="4">
        <f>((-0.83449817*(1.3/1.5))*0.6)-0.3</f>
        <v>-0.73393904840000002</v>
      </c>
    </row>
    <row r="1819" spans="1:6" x14ac:dyDescent="0.4">
      <c r="A1819" s="4">
        <v>1590.0387250000001</v>
      </c>
      <c r="B1819" s="4">
        <v>1.1052531999999999</v>
      </c>
      <c r="C1819" s="4">
        <v>1.144671</v>
      </c>
      <c r="D1819" s="4">
        <v>-29.128609999999998</v>
      </c>
      <c r="E1819" s="4">
        <f>((-34.9870743/(10/9))+-10.5)+-0.4</f>
        <v>-42.388366869999999</v>
      </c>
      <c r="F1819" s="4">
        <f>((-0.8353343*(1.3/1.5))*0.6)-0.3</f>
        <v>-0.73437383599999995</v>
      </c>
    </row>
    <row r="1820" spans="1:6" x14ac:dyDescent="0.4">
      <c r="A1820" s="4">
        <v>1590.91365</v>
      </c>
      <c r="B1820" s="4">
        <v>1.1053675000000001</v>
      </c>
      <c r="C1820" s="4">
        <v>1.1445358000000001</v>
      </c>
      <c r="D1820" s="4">
        <v>-29.128822</v>
      </c>
      <c r="E1820" s="4">
        <f>((-34.9771077/(10/9))+-10.5)+-0.4</f>
        <v>-42.379396929999992</v>
      </c>
      <c r="F1820" s="4">
        <f>((-0.83619505*(1.3/1.5))*0.6)-0.3</f>
        <v>-0.734821426</v>
      </c>
    </row>
    <row r="1821" spans="1:6" x14ac:dyDescent="0.4">
      <c r="A1821" s="4">
        <v>1591.788575</v>
      </c>
      <c r="B1821" s="4">
        <v>1.1055273999999999</v>
      </c>
      <c r="C1821" s="4">
        <v>1.1446253</v>
      </c>
      <c r="D1821" s="4">
        <v>-29.129141999999998</v>
      </c>
      <c r="E1821" s="4">
        <f>((-34.91199/(10/9))+-10.5)+-0.4</f>
        <v>-42.320791</v>
      </c>
      <c r="F1821" s="4">
        <f>((-0.83705395*(1.3/1.5))*0.6)-0.3</f>
        <v>-0.73526805400000006</v>
      </c>
    </row>
    <row r="1822" spans="1:6" x14ac:dyDescent="0.4">
      <c r="A1822" s="4">
        <v>1592.6635000000001</v>
      </c>
      <c r="B1822" s="4">
        <v>1.1056629</v>
      </c>
      <c r="C1822" s="4">
        <v>1.1448427000000001</v>
      </c>
      <c r="D1822" s="4">
        <v>-29.12931</v>
      </c>
      <c r="E1822" s="4">
        <f>((-34.930539/(10/9))+-10.5)+-0.4</f>
        <v>-42.337485100000002</v>
      </c>
      <c r="F1822" s="4">
        <f>((-0.83784884*(1.3/1.5))*0.6)-0.3</f>
        <v>-0.7356813968</v>
      </c>
    </row>
    <row r="1823" spans="1:6" x14ac:dyDescent="0.4">
      <c r="A1823" s="4">
        <v>1593.538425</v>
      </c>
      <c r="B1823" s="4">
        <v>1.1057410000000001</v>
      </c>
      <c r="C1823" s="4">
        <v>1.145133</v>
      </c>
      <c r="D1823" s="4">
        <v>-29.129481999999999</v>
      </c>
      <c r="E1823" s="4">
        <f>((-34.945299/(10/9))+-10.5)+-0.4</f>
        <v>-42.350769100000001</v>
      </c>
      <c r="F1823" s="4">
        <f>((-0.83870852*(1.3/1.5))*0.6)-0.3</f>
        <v>-0.73612843039999998</v>
      </c>
    </row>
    <row r="1824" spans="1:6" x14ac:dyDescent="0.4">
      <c r="A1824" s="4">
        <v>1594.41335</v>
      </c>
      <c r="B1824" s="4">
        <v>1.1058515</v>
      </c>
      <c r="C1824" s="4">
        <v>1.1451761</v>
      </c>
      <c r="D1824" s="4">
        <v>-29.129815000000001</v>
      </c>
      <c r="E1824" s="4">
        <f>((-34.9730154/(10/9))+-10.5)+-0.4</f>
        <v>-42.375713859999998</v>
      </c>
      <c r="F1824" s="4">
        <f>((-0.83946645*(1.3/1.5))*0.6)-0.3</f>
        <v>-0.736522554</v>
      </c>
    </row>
    <row r="1825" spans="1:6" x14ac:dyDescent="0.4">
      <c r="A1825" s="4">
        <v>1595.2882749999999</v>
      </c>
      <c r="B1825" s="4">
        <v>1.1060728</v>
      </c>
      <c r="C1825" s="4">
        <v>1.1454172</v>
      </c>
      <c r="D1825" s="4">
        <v>-29.129933999999999</v>
      </c>
      <c r="E1825" s="4">
        <f>((-34.8913044/(10/9))+-10.5)+-0.4</f>
        <v>-42.302173959999998</v>
      </c>
      <c r="F1825" s="4">
        <f>((-0.84026206*(1.3/1.5))*0.6)-0.3</f>
        <v>-0.73693627120000005</v>
      </c>
    </row>
    <row r="1826" spans="1:6" x14ac:dyDescent="0.4">
      <c r="A1826" s="4">
        <v>1596.1632</v>
      </c>
      <c r="B1826" s="4">
        <v>1.1061341</v>
      </c>
      <c r="C1826" s="4">
        <v>1.1454495</v>
      </c>
      <c r="D1826" s="4">
        <v>-29.130112999999998</v>
      </c>
      <c r="E1826" s="4">
        <f>((-34.875189/(10/9))+-10.5)+-0.4</f>
        <v>-42.287670099999993</v>
      </c>
      <c r="F1826" s="4">
        <f>((-0.8410666*(1.3/1.5))*0.6)-0.3</f>
        <v>-0.73735463199999995</v>
      </c>
    </row>
    <row r="1827" spans="1:6" x14ac:dyDescent="0.4">
      <c r="A1827" s="4">
        <v>1597.038125</v>
      </c>
      <c r="B1827" s="4">
        <v>1.1062813</v>
      </c>
      <c r="C1827" s="4">
        <v>1.1454568999999999</v>
      </c>
      <c r="D1827" s="4">
        <v>-29.130631999999999</v>
      </c>
      <c r="E1827" s="4">
        <f>((-34.9481583/(10/9))+-10.5)+-0.4</f>
        <v>-42.353342470000001</v>
      </c>
      <c r="F1827" s="4">
        <f>((-0.8417781*(1.3/1.5))*0.6)-0.3</f>
        <v>-0.73772461199999995</v>
      </c>
    </row>
    <row r="1828" spans="1:6" x14ac:dyDescent="0.4">
      <c r="A1828" s="4">
        <v>1597.9130500000001</v>
      </c>
      <c r="B1828" s="4">
        <v>1.1064967999999999</v>
      </c>
      <c r="C1828" s="4">
        <v>1.1459516999999999</v>
      </c>
      <c r="D1828" s="4">
        <v>-29.131270999999998</v>
      </c>
      <c r="E1828" s="4">
        <f>((-34.9056927/(10/9))+-10.5)+-0.4</f>
        <v>-42.31512343</v>
      </c>
      <c r="F1828" s="4">
        <f>((-0.84254992*(1.3/1.5))*0.6)-0.3</f>
        <v>-0.73812595839999995</v>
      </c>
    </row>
    <row r="1829" spans="1:6" x14ac:dyDescent="0.4">
      <c r="A1829" s="4">
        <v>1598.7879750000002</v>
      </c>
      <c r="B1829" s="4">
        <v>1.1063335000000001</v>
      </c>
      <c r="C1829" s="4">
        <v>1.1460645</v>
      </c>
      <c r="D1829" s="4">
        <v>-29.131506999999999</v>
      </c>
      <c r="E1829" s="4">
        <f>((-34.8662655/(10/9))+-10.5)+-0.4</f>
        <v>-42.279638949999999</v>
      </c>
      <c r="F1829" s="4">
        <f>((-0.84335268*(1.3/1.5))*0.6)-0.3</f>
        <v>-0.73854339359999999</v>
      </c>
    </row>
    <row r="1830" spans="1:6" x14ac:dyDescent="0.4">
      <c r="A1830" s="4">
        <v>1599.6628999999998</v>
      </c>
      <c r="B1830" s="4">
        <v>1.1068513</v>
      </c>
      <c r="C1830" s="4">
        <v>1.1462128</v>
      </c>
      <c r="D1830" s="4">
        <v>-29.131612000000001</v>
      </c>
      <c r="E1830" s="4">
        <f>((-34.8726933/(10/9))+-10.5)+-0.4</f>
        <v>-42.285423970000004</v>
      </c>
      <c r="F1830" s="4">
        <f>((-0.84409535*(1.3/1.5))*0.6)-0.3</f>
        <v>-0.73892958199999992</v>
      </c>
    </row>
    <row r="1831" spans="1:6" x14ac:dyDescent="0.4">
      <c r="A1831" s="4">
        <v>1600.5378249999999</v>
      </c>
      <c r="B1831" s="4">
        <v>1.1070335</v>
      </c>
      <c r="C1831" s="4">
        <v>1.1465958000000001</v>
      </c>
      <c r="D1831" s="4">
        <v>-29.132348</v>
      </c>
      <c r="E1831" s="4">
        <f>((-34.8905799/(10/9))+-10.5)+-0.4</f>
        <v>-42.301521909999998</v>
      </c>
      <c r="F1831" s="4">
        <f>((-0.84480011*(1.3/1.5))*0.6)-0.3</f>
        <v>-0.73929605720000002</v>
      </c>
    </row>
    <row r="1832" spans="1:6" x14ac:dyDescent="0.4">
      <c r="A1832" s="4">
        <v>1601.41275</v>
      </c>
      <c r="B1832" s="4">
        <v>1.1071550999999999</v>
      </c>
      <c r="C1832" s="4">
        <v>1.1469305000000001</v>
      </c>
      <c r="D1832" s="4">
        <v>-29.132558</v>
      </c>
      <c r="E1832" s="4">
        <f>((-34.8612399/(10/9))+-10.5)+-0.4</f>
        <v>-42.275115909999997</v>
      </c>
      <c r="F1832" s="4">
        <f>((-0.84556431*(1.3/1.5))*0.6)-0.3</f>
        <v>-0.73969344120000002</v>
      </c>
    </row>
    <row r="1833" spans="1:6" x14ac:dyDescent="0.4">
      <c r="A1833" s="4">
        <v>1602.287675</v>
      </c>
      <c r="B1833" s="4">
        <v>1.1072283000000001</v>
      </c>
      <c r="C1833" s="4">
        <v>1.1466026</v>
      </c>
      <c r="D1833" s="4">
        <v>-29.132905000000001</v>
      </c>
      <c r="E1833" s="4">
        <f>((-34.8761745/(10/9))+-10.5)+-0.4</f>
        <v>-42.288557049999994</v>
      </c>
      <c r="F1833" s="4">
        <f>((-0.84631151*(1.3/1.5))*0.6)-0.3</f>
        <v>-0.74008198520000001</v>
      </c>
    </row>
    <row r="1834" spans="1:6" x14ac:dyDescent="0.4">
      <c r="A1834" s="4">
        <v>1603.1626000000001</v>
      </c>
      <c r="B1834" s="4">
        <v>1.1075085</v>
      </c>
      <c r="C1834" s="4">
        <v>1.1468858</v>
      </c>
      <c r="D1834" s="4">
        <v>-29.133437000000001</v>
      </c>
      <c r="E1834" s="4">
        <f>((-34.9037838/(10/9))+-10.5)+-0.4</f>
        <v>-42.313405419999995</v>
      </c>
      <c r="F1834" s="4">
        <f>((-0.84704328*(1.3/1.5))*0.6)-0.3</f>
        <v>-0.74046250560000004</v>
      </c>
    </row>
    <row r="1835" spans="1:6" x14ac:dyDescent="0.4">
      <c r="A1835" s="4">
        <v>1604.037525</v>
      </c>
      <c r="B1835" s="4">
        <v>1.1076746</v>
      </c>
      <c r="C1835" s="4">
        <v>1.1470224</v>
      </c>
      <c r="D1835" s="4">
        <v>-29.134422999999998</v>
      </c>
      <c r="E1835" s="4">
        <f>((-34.8561756/(10/9))+-10.5)+-0.4</f>
        <v>-42.270558039999997</v>
      </c>
      <c r="F1835" s="4">
        <f>((-0.84781444*(1.3/1.5))*0.6)-0.3</f>
        <v>-0.74086350879999996</v>
      </c>
    </row>
    <row r="1836" spans="1:6" x14ac:dyDescent="0.4">
      <c r="A1836" s="4">
        <v>1604.91245</v>
      </c>
      <c r="B1836" s="4">
        <v>1.1074481</v>
      </c>
      <c r="C1836" s="4">
        <v>1.1471738</v>
      </c>
      <c r="D1836" s="4">
        <v>-29.134923000000001</v>
      </c>
      <c r="E1836" s="4">
        <f>((-34.89093/(10/9))+-10.5)+-0.4</f>
        <v>-42.301836999999999</v>
      </c>
      <c r="F1836" s="4">
        <f>((-0.84866858*(1.3/1.5))*0.6)-0.3</f>
        <v>-0.74130766159999995</v>
      </c>
    </row>
    <row r="1837" spans="1:6" x14ac:dyDescent="0.4">
      <c r="A1837" s="4">
        <v>1605.7873750000001</v>
      </c>
      <c r="B1837" s="4">
        <v>1.1075937</v>
      </c>
      <c r="C1837" s="4">
        <v>1.1473898</v>
      </c>
      <c r="D1837" s="4">
        <v>-29.135604000000001</v>
      </c>
      <c r="E1837" s="4">
        <f>((-34.8606288/(10/9))+-10.5)+-0.4</f>
        <v>-42.274565919999993</v>
      </c>
      <c r="F1837" s="4">
        <f>((-0.84946918*(1.3/1.5))*0.6)-0.3</f>
        <v>-0.74172397359999998</v>
      </c>
    </row>
    <row r="1838" spans="1:6" x14ac:dyDescent="0.4">
      <c r="A1838" s="4">
        <v>1606.6623</v>
      </c>
      <c r="B1838" s="4">
        <v>1.1079938</v>
      </c>
      <c r="C1838" s="4">
        <v>1.1476318999999999</v>
      </c>
      <c r="D1838" s="4">
        <v>-29.136111</v>
      </c>
      <c r="E1838" s="4">
        <f>((-34.803558/(10/9))+-10.5)+-0.4</f>
        <v>-42.223202199999996</v>
      </c>
      <c r="F1838" s="4">
        <f>((-0.85020643*(1.3/1.5))*0.6)-0.3</f>
        <v>-0.74210734359999997</v>
      </c>
    </row>
    <row r="1839" spans="1:6" x14ac:dyDescent="0.4">
      <c r="A1839" s="4">
        <v>1607.537225</v>
      </c>
      <c r="B1839" s="4">
        <v>1.1082236999999999</v>
      </c>
      <c r="C1839" s="4">
        <v>1.1480185999999999</v>
      </c>
      <c r="D1839" s="4">
        <v>-29.136153</v>
      </c>
      <c r="E1839" s="4">
        <f>((-34.8714261/(10/9))+-10.5)+-0.4</f>
        <v>-42.28428349</v>
      </c>
      <c r="F1839" s="4">
        <f>((-0.85087711*(1.3/1.5))*0.6)-0.3</f>
        <v>-0.74245609719999994</v>
      </c>
    </row>
    <row r="1840" spans="1:6" x14ac:dyDescent="0.4">
      <c r="A1840" s="4">
        <v>1608.4121499999999</v>
      </c>
      <c r="B1840" s="4">
        <v>1.1084270000000001</v>
      </c>
      <c r="C1840" s="4">
        <v>1.1480649000000001</v>
      </c>
      <c r="D1840" s="4">
        <v>-29.136316999999998</v>
      </c>
      <c r="E1840" s="4">
        <f>((-34.8522759/(10/9))+-10.5)+-0.4</f>
        <v>-42.26704831</v>
      </c>
      <c r="F1840" s="4">
        <f>((-0.85150599*(1.3/1.5))*0.6)-0.3</f>
        <v>-0.74278311480000003</v>
      </c>
    </row>
    <row r="1841" spans="1:6" x14ac:dyDescent="0.4">
      <c r="A1841" s="4">
        <v>1609.287075</v>
      </c>
      <c r="B1841" s="4">
        <v>1.1083761000000001</v>
      </c>
      <c r="C1841" s="4">
        <v>1.1480956</v>
      </c>
      <c r="D1841" s="4">
        <v>-29.136651000000001</v>
      </c>
      <c r="E1841" s="4">
        <f>((-34.8100398/(10/9))+-10.5)+-0.4</f>
        <v>-42.22903582</v>
      </c>
      <c r="F1841" s="4">
        <f>((-0.85217106*(1.3/1.5))*0.6)-0.3</f>
        <v>-0.74312895119999989</v>
      </c>
    </row>
    <row r="1842" spans="1:6" x14ac:dyDescent="0.4">
      <c r="A1842" s="4">
        <v>1610.162</v>
      </c>
      <c r="B1842" s="4">
        <v>1.1083181</v>
      </c>
      <c r="C1842" s="4">
        <v>1.1481034999999999</v>
      </c>
      <c r="D1842" s="4">
        <v>-29.137499999999999</v>
      </c>
      <c r="E1842" s="4">
        <f>((-34.8124293/(10/9))+-10.5)+-0.4</f>
        <v>-42.231186369999996</v>
      </c>
      <c r="F1842" s="4">
        <f>((-0.85287732*(1.3/1.5))*0.6)-0.3</f>
        <v>-0.74349620640000003</v>
      </c>
    </row>
    <row r="1843" spans="1:6" x14ac:dyDescent="0.4">
      <c r="A1843" s="4">
        <v>1611.0369250000001</v>
      </c>
      <c r="B1843" s="4">
        <v>1.1086868000000001</v>
      </c>
      <c r="C1843" s="4">
        <v>1.1484232000000001</v>
      </c>
      <c r="D1843" s="4">
        <v>-29.137885000000001</v>
      </c>
      <c r="E1843" s="4">
        <f>((-34.8242364/(10/9))+-10.5)+-0.4</f>
        <v>-42.241812759999995</v>
      </c>
      <c r="F1843" s="4">
        <f>((-0.85357642*(1.3/1.5))*0.6)-0.3</f>
        <v>-0.74385973839999997</v>
      </c>
    </row>
    <row r="1844" spans="1:6" x14ac:dyDescent="0.4">
      <c r="A1844" s="4">
        <v>1611.9118500000002</v>
      </c>
      <c r="B1844" s="4">
        <v>1.1088012</v>
      </c>
      <c r="C1844" s="4">
        <v>1.1486662999999999</v>
      </c>
      <c r="D1844" s="4">
        <v>-29.138044000000001</v>
      </c>
      <c r="E1844" s="4">
        <f>((-34.7953968/(10/9))+-10.5)+-0.4</f>
        <v>-42.215857119999995</v>
      </c>
      <c r="F1844" s="4">
        <f>((-0.85417062*(1.3/1.5))*0.6)-0.3</f>
        <v>-0.74416872239999998</v>
      </c>
    </row>
    <row r="1845" spans="1:6" x14ac:dyDescent="0.4">
      <c r="A1845" s="4">
        <v>1612.7867749999998</v>
      </c>
      <c r="B1845" s="4">
        <v>1.1090115</v>
      </c>
      <c r="C1845" s="4">
        <v>1.1487164000000001</v>
      </c>
      <c r="D1845" s="4">
        <v>-29.138456999999999</v>
      </c>
      <c r="E1845" s="4">
        <f>((-34.7844456/(10/9))+-10.5)+-0.4</f>
        <v>-42.206001039999997</v>
      </c>
      <c r="F1845" s="4">
        <f>((-0.85474628*(1.3/1.5))*0.6)-0.3</f>
        <v>-0.74446806560000001</v>
      </c>
    </row>
    <row r="1846" spans="1:6" x14ac:dyDescent="0.4">
      <c r="A1846" s="4">
        <v>1613.6616999999999</v>
      </c>
      <c r="B1846" s="4">
        <v>1.1090502</v>
      </c>
      <c r="C1846" s="4">
        <v>1.1488874</v>
      </c>
      <c r="D1846" s="4">
        <v>-29.138718999999998</v>
      </c>
      <c r="E1846" s="4">
        <f>((-34.8183036/(10/9))+-10.5)+-0.4</f>
        <v>-42.236473240000002</v>
      </c>
      <c r="F1846" s="4">
        <f>((-0.85535109*(1.3/1.5))*0.6)-0.3</f>
        <v>-0.74478256679999999</v>
      </c>
    </row>
    <row r="1847" spans="1:6" x14ac:dyDescent="0.4">
      <c r="A1847" s="4">
        <v>1614.536625</v>
      </c>
      <c r="B1847" s="4">
        <v>1.1092134</v>
      </c>
      <c r="C1847" s="4">
        <v>1.1490999</v>
      </c>
      <c r="D1847" s="4">
        <v>-29.138856000000001</v>
      </c>
      <c r="E1847" s="4">
        <f>((-34.8216102/(10/9))+-10.5)+-0.4</f>
        <v>-42.239449180000001</v>
      </c>
      <c r="F1847" s="4">
        <f>((-0.85592502*(1.3/1.5))*0.6)-0.3</f>
        <v>-0.74508101039999997</v>
      </c>
    </row>
    <row r="1848" spans="1:6" x14ac:dyDescent="0.4">
      <c r="A1848" s="4">
        <v>1615.41155</v>
      </c>
      <c r="B1848" s="4">
        <v>1.1091831999999999</v>
      </c>
      <c r="C1848" s="4">
        <v>1.1490817</v>
      </c>
      <c r="D1848" s="4">
        <v>-29.138954999999999</v>
      </c>
      <c r="E1848" s="4">
        <f>((-34.7631417/(10/9))+-10.5)+-0.4</f>
        <v>-42.186827529999995</v>
      </c>
      <c r="F1848" s="4">
        <f>((-0.85654151*(1.3/1.5))*0.6)-0.3</f>
        <v>-0.74540158519999999</v>
      </c>
    </row>
    <row r="1849" spans="1:6" x14ac:dyDescent="0.4">
      <c r="A1849" s="4">
        <v>1616.2864750000001</v>
      </c>
      <c r="B1849" s="4">
        <v>1.1095029999999999</v>
      </c>
      <c r="C1849" s="4">
        <v>1.1493036000000001</v>
      </c>
      <c r="D1849" s="4">
        <v>-29.139233999999998</v>
      </c>
      <c r="E1849" s="4">
        <f>((-34.7780664/(10/9))+-10.5)+-0.4</f>
        <v>-42.200259760000002</v>
      </c>
      <c r="F1849" s="4">
        <f>((-0.85713536*(1.3/1.5))*0.6)-0.3</f>
        <v>-0.74571038719999994</v>
      </c>
    </row>
    <row r="1850" spans="1:6" x14ac:dyDescent="0.4">
      <c r="A1850" s="4">
        <v>1617.1614</v>
      </c>
      <c r="B1850" s="4">
        <v>1.1097372000000001</v>
      </c>
      <c r="C1850" s="4">
        <v>1.149397</v>
      </c>
      <c r="D1850" s="4">
        <v>-29.139585</v>
      </c>
      <c r="E1850" s="4">
        <f>((-34.7814891/(10/9))+-10.5)+-0.4</f>
        <v>-42.203340189999999</v>
      </c>
      <c r="F1850" s="4">
        <f>((-0.85768056*(1.3/1.5))*0.6)-0.3</f>
        <v>-0.74599389120000004</v>
      </c>
    </row>
    <row r="1851" spans="1:6" x14ac:dyDescent="0.4">
      <c r="A1851" s="4">
        <v>1618.036325</v>
      </c>
      <c r="B1851" s="4">
        <v>1.1096478999999999</v>
      </c>
      <c r="C1851" s="4">
        <v>1.1496274</v>
      </c>
      <c r="D1851" s="4">
        <v>-29.140003999999998</v>
      </c>
      <c r="E1851" s="4">
        <f>((-34.7868279/(10/9))+-10.5)+-0.4</f>
        <v>-42.208145109999997</v>
      </c>
      <c r="F1851" s="4">
        <f>((-0.85823792*(1.3/1.5))*0.6)-0.3</f>
        <v>-0.74628371839999996</v>
      </c>
    </row>
    <row r="1852" spans="1:6" x14ac:dyDescent="0.4">
      <c r="A1852" s="4">
        <v>1618.9112500000001</v>
      </c>
      <c r="B1852" s="4">
        <v>1.1097463000000001</v>
      </c>
      <c r="C1852" s="4">
        <v>1.1497493999999999</v>
      </c>
      <c r="D1852" s="4">
        <v>-29.140266</v>
      </c>
      <c r="E1852" s="4">
        <f>((-34.7929668/(10/9))+-10.5)+-0.4</f>
        <v>-42.213670119999996</v>
      </c>
      <c r="F1852" s="4">
        <f>((-0.85879111*(1.3/1.5))*0.6)-0.3</f>
        <v>-0.7465713772</v>
      </c>
    </row>
    <row r="1853" spans="1:6" x14ac:dyDescent="0.4">
      <c r="A1853" s="4">
        <v>1619.786175</v>
      </c>
      <c r="B1853" s="4">
        <v>1.1097872</v>
      </c>
      <c r="C1853" s="4">
        <v>1.1499301</v>
      </c>
      <c r="D1853" s="4">
        <v>-29.140658999999999</v>
      </c>
      <c r="E1853" s="4">
        <f>((-34.7686074/(10/9))+-10.5)+-0.4</f>
        <v>-42.19174666</v>
      </c>
      <c r="F1853" s="4">
        <f>((-0.85932064*(1.3/1.5))*0.6)-0.3</f>
        <v>-0.74684673279999991</v>
      </c>
    </row>
    <row r="1854" spans="1:6" x14ac:dyDescent="0.4">
      <c r="A1854" s="4">
        <v>1620.6611</v>
      </c>
      <c r="B1854" s="4">
        <v>1.1100715000000001</v>
      </c>
      <c r="C1854" s="4">
        <v>1.1499234</v>
      </c>
      <c r="D1854" s="4">
        <v>-29.141010999999999</v>
      </c>
      <c r="E1854" s="4">
        <f>((-34.7572989/(10/9))+-10.5)+-0.4</f>
        <v>-42.181569009999997</v>
      </c>
      <c r="F1854" s="4">
        <f>((-0.85975122*(1.3/1.5))*0.6)-0.3</f>
        <v>-0.74707063439999999</v>
      </c>
    </row>
    <row r="1855" spans="1:6" x14ac:dyDescent="0.4">
      <c r="A1855" s="4">
        <v>1621.5360249999999</v>
      </c>
      <c r="B1855" s="4">
        <v>1.1103822000000001</v>
      </c>
      <c r="C1855" s="4">
        <v>1.1504432</v>
      </c>
      <c r="D1855" s="4">
        <v>-29.141544</v>
      </c>
      <c r="E1855" s="4">
        <f>((-34.777314/(10/9))+-10.5)+-0.4</f>
        <v>-42.199582599999992</v>
      </c>
      <c r="F1855" s="4">
        <f>((-0.86020601*(1.3/1.5))*0.6)-0.3</f>
        <v>-0.74730712519999998</v>
      </c>
    </row>
    <row r="1856" spans="1:6" x14ac:dyDescent="0.4">
      <c r="A1856" s="4">
        <v>1622.41095</v>
      </c>
      <c r="B1856" s="4">
        <v>1.1106206000000001</v>
      </c>
      <c r="C1856" s="4">
        <v>1.1506388000000001</v>
      </c>
      <c r="D1856" s="4">
        <v>-29.141787999999998</v>
      </c>
      <c r="E1856" s="4">
        <f>((-34.7214042/(10/9))+-10.5)+-0.4</f>
        <v>-42.149263779999998</v>
      </c>
      <c r="F1856" s="4">
        <f>((-0.86057907*(1.3/1.5))*0.6)-0.3</f>
        <v>-0.74750111639999994</v>
      </c>
    </row>
    <row r="1857" spans="1:6" x14ac:dyDescent="0.4">
      <c r="A1857" s="4">
        <v>1623.285875</v>
      </c>
      <c r="B1857" s="4">
        <v>1.1108693000000001</v>
      </c>
      <c r="C1857" s="4">
        <v>1.150558</v>
      </c>
      <c r="D1857" s="4">
        <v>-29.142036000000001</v>
      </c>
      <c r="E1857" s="4">
        <f>((-34.7834322/(10/9))+-10.5)+-0.4</f>
        <v>-42.205088979999992</v>
      </c>
      <c r="F1857" s="4">
        <f>((-0.86094517*(1.3/1.5))*0.6)-0.3</f>
        <v>-0.74769148839999999</v>
      </c>
    </row>
    <row r="1858" spans="1:6" x14ac:dyDescent="0.4">
      <c r="A1858" s="4">
        <v>1624.1608000000001</v>
      </c>
      <c r="B1858" s="4">
        <v>1.1109753</v>
      </c>
      <c r="C1858" s="4">
        <v>1.1506277</v>
      </c>
      <c r="D1858" s="4">
        <v>-29.142557999999998</v>
      </c>
      <c r="E1858" s="4">
        <f>((-34.7288922/(10/9))+-10.5)+-0.4</f>
        <v>-42.15600297999999</v>
      </c>
      <c r="F1858" s="4">
        <f>((-0.86132181*(1.3/1.5))*0.6)-0.3</f>
        <v>-0.7478873412</v>
      </c>
    </row>
    <row r="1859" spans="1:6" x14ac:dyDescent="0.4">
      <c r="A1859" s="4">
        <v>1625.0357250000002</v>
      </c>
      <c r="B1859" s="4">
        <v>1.1107677</v>
      </c>
      <c r="C1859" s="4">
        <v>1.1509168000000001</v>
      </c>
      <c r="D1859" s="4">
        <v>-29.143090000000001</v>
      </c>
      <c r="E1859" s="4">
        <f>((-34.7054193/(10/9))+-10.5)+-0.4</f>
        <v>-42.134877369999998</v>
      </c>
      <c r="F1859" s="4">
        <f>((-0.86171865*(1.3/1.5))*0.6)-0.3</f>
        <v>-0.74809369800000003</v>
      </c>
    </row>
    <row r="1860" spans="1:6" x14ac:dyDescent="0.4">
      <c r="A1860" s="4">
        <v>1625.9106499999998</v>
      </c>
      <c r="B1860" s="4">
        <v>1.1110686000000001</v>
      </c>
      <c r="C1860" s="4">
        <v>1.1507818999999999</v>
      </c>
      <c r="D1860" s="4">
        <v>-29.143476</v>
      </c>
      <c r="E1860" s="4">
        <f>((-34.7583456/(10/9))+-10.5)+-0.4</f>
        <v>-42.182511039999994</v>
      </c>
      <c r="F1860" s="4">
        <f>((-0.86213243*(1.3/1.5))*0.6)-0.3</f>
        <v>-0.74830886359999993</v>
      </c>
    </row>
    <row r="1861" spans="1:6" x14ac:dyDescent="0.4">
      <c r="A1861" s="4">
        <v>1626.7855749999999</v>
      </c>
      <c r="B1861" s="4">
        <v>1.1110538000000001</v>
      </c>
      <c r="C1861" s="4">
        <v>1.1512283999999999</v>
      </c>
      <c r="D1861" s="4">
        <v>-29.143978999999998</v>
      </c>
      <c r="E1861" s="4">
        <f>((-34.6649517/(10/9))+-10.5)+-0.4</f>
        <v>-42.09845653</v>
      </c>
      <c r="F1861" s="4">
        <f>((-0.86251402*(1.3/1.5))*0.6)-0.3</f>
        <v>-0.74850729039999997</v>
      </c>
    </row>
    <row r="1862" spans="1:6" x14ac:dyDescent="0.4">
      <c r="A1862" s="4">
        <v>1627.6605</v>
      </c>
      <c r="B1862" s="4">
        <v>1.1113763999999999</v>
      </c>
      <c r="C1862" s="4">
        <v>1.1511587000000001</v>
      </c>
      <c r="D1862" s="4">
        <v>-29.144562999999998</v>
      </c>
      <c r="E1862" s="4">
        <f>((-34.6960224/(10/9))+-10.5)+-0.4</f>
        <v>-42.126420159999995</v>
      </c>
      <c r="F1862" s="4">
        <f>((-0.86290348*(1.3/1.5))*0.6)-0.3</f>
        <v>-0.7487098096</v>
      </c>
    </row>
    <row r="1863" spans="1:6" x14ac:dyDescent="0.4">
      <c r="A1863" s="4">
        <v>1628.535425</v>
      </c>
      <c r="B1863" s="4">
        <v>1.1116588999999999</v>
      </c>
      <c r="C1863" s="4">
        <v>1.1514735</v>
      </c>
      <c r="D1863" s="4">
        <v>-29.145101</v>
      </c>
      <c r="E1863" s="4">
        <f>((-34.7085981/(10/9))+-10.5)+-0.4</f>
        <v>-42.137738290000001</v>
      </c>
      <c r="F1863" s="4">
        <f>((-0.86322564*(1.3/1.5))*0.6)-0.3</f>
        <v>-0.74887733280000002</v>
      </c>
    </row>
    <row r="1864" spans="1:6" x14ac:dyDescent="0.4">
      <c r="A1864" s="4">
        <v>1629.4103500000001</v>
      </c>
      <c r="B1864" s="4">
        <v>1.1118531</v>
      </c>
      <c r="C1864" s="4">
        <v>1.1517177000000001</v>
      </c>
      <c r="D1864" s="4">
        <v>-29.145462999999999</v>
      </c>
      <c r="E1864" s="4">
        <f>((-34.7303034/(10/9))+-10.5)+-0.4</f>
        <v>-42.157273059999994</v>
      </c>
      <c r="F1864" s="4">
        <f>((-0.86358303*(1.3/1.5))*0.6)-0.3</f>
        <v>-0.74906317559999991</v>
      </c>
    </row>
    <row r="1865" spans="1:6" x14ac:dyDescent="0.4">
      <c r="A1865" s="4">
        <v>1630.285275</v>
      </c>
      <c r="B1865" s="4">
        <v>1.1118220000000001</v>
      </c>
      <c r="C1865" s="4">
        <v>1.1516683999999999</v>
      </c>
      <c r="D1865" s="4">
        <v>-29.146155999999998</v>
      </c>
      <c r="E1865" s="4">
        <f>((-34.721586/(10/9))+-10.5)+-0.4</f>
        <v>-42.1494274</v>
      </c>
      <c r="F1865" s="4">
        <f>((-0.86404514*(1.3/1.5))*0.6)-0.3</f>
        <v>-0.74930347279999998</v>
      </c>
    </row>
    <row r="1866" spans="1:6" x14ac:dyDescent="0.4">
      <c r="A1866" s="4">
        <v>1631.1602</v>
      </c>
      <c r="B1866" s="4">
        <v>1.1120249</v>
      </c>
      <c r="C1866" s="4">
        <v>1.1519698</v>
      </c>
      <c r="D1866" s="4">
        <v>-29.146519999999999</v>
      </c>
      <c r="E1866" s="4">
        <f>((-34.7104107/(10/9))+-10.5)+-0.4</f>
        <v>-42.139369629999997</v>
      </c>
      <c r="F1866" s="4">
        <f>((-0.86440718*(1.3/1.5))*0.6)-0.3</f>
        <v>-0.74949173359999999</v>
      </c>
    </row>
    <row r="1867" spans="1:6" x14ac:dyDescent="0.4">
      <c r="A1867" s="4">
        <v>1632.0351250000001</v>
      </c>
      <c r="B1867" s="4">
        <v>1.1121928999999999</v>
      </c>
      <c r="C1867" s="4">
        <v>1.1520206</v>
      </c>
      <c r="D1867" s="4">
        <v>-29.146650000000001</v>
      </c>
      <c r="E1867" s="4">
        <f>((-34.6706235/(10/9))+-10.5)+-0.4</f>
        <v>-42.103561149999997</v>
      </c>
      <c r="F1867" s="4">
        <f>((-0.86475265*(1.3/1.5))*0.6)-0.3</f>
        <v>-0.74967137799999994</v>
      </c>
    </row>
    <row r="1868" spans="1:6" x14ac:dyDescent="0.4">
      <c r="A1868" s="4">
        <v>1632.91005</v>
      </c>
      <c r="B1868" s="4">
        <v>1.112179</v>
      </c>
      <c r="C1868" s="4">
        <v>1.1520554999999999</v>
      </c>
      <c r="D1868" s="4">
        <v>-29.146879999999999</v>
      </c>
      <c r="E1868" s="4">
        <f>((-34.6508442/(10/9))+-10.5)+-0.4</f>
        <v>-42.085759779999997</v>
      </c>
      <c r="F1868" s="4">
        <f>((-0.86502719*(1.3/1.5))*0.6)-0.3</f>
        <v>-0.74981413879999992</v>
      </c>
    </row>
    <row r="1869" spans="1:6" x14ac:dyDescent="0.4">
      <c r="A1869" s="4">
        <v>1633.784975</v>
      </c>
      <c r="B1869" s="4">
        <v>1.1124715999999999</v>
      </c>
      <c r="C1869" s="4">
        <v>1.1523311000000001</v>
      </c>
      <c r="D1869" s="4">
        <v>-29.147317000000001</v>
      </c>
      <c r="E1869" s="4">
        <f>((-34.674939/(10/9))+-10.5)+-0.4</f>
        <v>-42.1074451</v>
      </c>
      <c r="F1869" s="4">
        <f>((-0.86527145*(1.3/1.5))*0.6)-0.3</f>
        <v>-0.74994115400000005</v>
      </c>
    </row>
    <row r="1870" spans="1:6" x14ac:dyDescent="0.4">
      <c r="A1870" s="4">
        <v>1634.6598999999999</v>
      </c>
      <c r="B1870" s="4">
        <v>1.1126229000000001</v>
      </c>
      <c r="C1870" s="4">
        <v>1.1527014</v>
      </c>
      <c r="D1870" s="4">
        <v>-29.148122000000001</v>
      </c>
      <c r="E1870" s="4">
        <f>((-34.6919742/(10/9))+-10.5)+-0.4</f>
        <v>-42.122776779999995</v>
      </c>
      <c r="F1870" s="4">
        <f>((-0.8655647*(1.3/1.5))*0.6)-0.3</f>
        <v>-0.75009364399999989</v>
      </c>
    </row>
    <row r="1871" spans="1:6" x14ac:dyDescent="0.4">
      <c r="A1871" s="4">
        <v>1635.534825</v>
      </c>
      <c r="B1871" s="4">
        <v>1.1128343000000001</v>
      </c>
      <c r="C1871" s="4">
        <v>1.1528809</v>
      </c>
      <c r="D1871" s="4">
        <v>-29.148405999999998</v>
      </c>
      <c r="E1871" s="4">
        <f>((-34.6238838/(10/9))+-10.5)+-0.4</f>
        <v>-42.06149542</v>
      </c>
      <c r="F1871" s="4">
        <f>((-0.86588138*(1.3/1.5))*0.6)-0.3</f>
        <v>-0.75025831759999995</v>
      </c>
    </row>
    <row r="1872" spans="1:6" x14ac:dyDescent="0.4">
      <c r="A1872" s="4">
        <v>1636.40975</v>
      </c>
      <c r="B1872" s="4">
        <v>1.1131096</v>
      </c>
      <c r="C1872" s="4">
        <v>1.1531491</v>
      </c>
      <c r="D1872" s="4">
        <v>-29.148778</v>
      </c>
      <c r="E1872" s="4">
        <f>((-34.6318551/(10/9))+-10.5)+-0.4</f>
        <v>-42.068669589999999</v>
      </c>
      <c r="F1872" s="4">
        <f>((-0.86614174*(1.3/1.5))*0.6)-0.3</f>
        <v>-0.75039370480000001</v>
      </c>
    </row>
    <row r="1873" spans="1:6" x14ac:dyDescent="0.4">
      <c r="A1873" s="4">
        <v>1637.2846750000001</v>
      </c>
      <c r="B1873" s="4">
        <v>1.1131876999999999</v>
      </c>
      <c r="C1873" s="4">
        <v>1.1530214999999999</v>
      </c>
      <c r="D1873" s="4">
        <v>-29.149155999999998</v>
      </c>
      <c r="E1873" s="4">
        <f>((-34.6217373/(10/9))+-10.5)+-0.4</f>
        <v>-42.059563570000002</v>
      </c>
      <c r="F1873" s="4">
        <f>((-0.86638474*(1.3/1.5))*0.6)-0.3</f>
        <v>-0.75052006479999989</v>
      </c>
    </row>
    <row r="1874" spans="1:6" x14ac:dyDescent="0.4">
      <c r="A1874" s="4">
        <v>1638.1596000000002</v>
      </c>
      <c r="B1874" s="4">
        <v>1.1132818</v>
      </c>
      <c r="C1874" s="4">
        <v>1.1533674</v>
      </c>
      <c r="D1874" s="4">
        <v>-29.149114000000001</v>
      </c>
      <c r="E1874" s="4">
        <f>((-34.606377/(10/9))+-10.5)+-0.4</f>
        <v>-42.045739300000001</v>
      </c>
      <c r="F1874" s="4">
        <f>((-0.86664969*(1.3/1.5))*0.6)-0.3</f>
        <v>-0.75065783880000003</v>
      </c>
    </row>
    <row r="1875" spans="1:6" x14ac:dyDescent="0.4">
      <c r="A1875" s="4">
        <v>1639.0345249999998</v>
      </c>
      <c r="B1875" s="4">
        <v>1.1133592999999999</v>
      </c>
      <c r="C1875" s="4">
        <v>1.1533838999999999</v>
      </c>
      <c r="D1875" s="4">
        <v>-29.149352</v>
      </c>
      <c r="E1875" s="4">
        <f>((-34.6263003/(10/9))+-10.5)+-0.4</f>
        <v>-42.063670269999996</v>
      </c>
      <c r="F1875" s="4">
        <f>((-0.86684853*(1.3/1.5))*0.6)-0.3</f>
        <v>-0.75076123559999997</v>
      </c>
    </row>
    <row r="1876" spans="1:6" x14ac:dyDescent="0.4">
      <c r="A1876" s="4">
        <v>1639.9094499999999</v>
      </c>
      <c r="B1876" s="4">
        <v>1.1135573000000001</v>
      </c>
      <c r="C1876" s="4">
        <v>1.1534873999999999</v>
      </c>
      <c r="D1876" s="4">
        <v>-29.149265</v>
      </c>
      <c r="E1876" s="4">
        <f>((-34.6342383/(10/9))+-10.5)+-0.4</f>
        <v>-42.070814469999995</v>
      </c>
      <c r="F1876" s="4">
        <f>((-0.86706567*(1.3/1.5))*0.6)-0.3</f>
        <v>-0.7508741484</v>
      </c>
    </row>
    <row r="1877" spans="1:6" x14ac:dyDescent="0.4">
      <c r="A1877" s="4">
        <v>1640.784375</v>
      </c>
      <c r="B1877" s="4">
        <v>1.1139387000000001</v>
      </c>
      <c r="C1877" s="4">
        <v>1.1537177999999999</v>
      </c>
      <c r="D1877" s="4">
        <v>-29.149417</v>
      </c>
      <c r="E1877" s="4">
        <f>((-34.5575187/(10/9))+-10.5)+-0.4</f>
        <v>-42.001766830000001</v>
      </c>
      <c r="F1877" s="4">
        <f>((-0.86732358*(1.3/1.5))*0.6)-0.3</f>
        <v>-0.7510082616</v>
      </c>
    </row>
    <row r="1878" spans="1:6" x14ac:dyDescent="0.4">
      <c r="A1878" s="4">
        <v>1641.6593</v>
      </c>
      <c r="B1878" s="4">
        <v>1.1139912999999999</v>
      </c>
      <c r="C1878" s="4">
        <v>1.1539509999999999</v>
      </c>
      <c r="D1878" s="4">
        <v>-29.149792999999999</v>
      </c>
      <c r="E1878" s="4">
        <f>((-34.6034385/(10/9))+-10.5)+-0.4</f>
        <v>-42.04309465</v>
      </c>
      <c r="F1878" s="4">
        <f>((-0.86756444*(1.3/1.5))*0.6)-0.3</f>
        <v>-0.75113350879999996</v>
      </c>
    </row>
    <row r="1879" spans="1:6" x14ac:dyDescent="0.4">
      <c r="A1879" s="4">
        <v>1642.5342250000001</v>
      </c>
      <c r="B1879" s="4">
        <v>1.1142453999999999</v>
      </c>
      <c r="C1879" s="4">
        <v>1.1540344</v>
      </c>
      <c r="D1879" s="4">
        <v>-29.150355999999999</v>
      </c>
      <c r="E1879" s="4">
        <f>((-34.5797181/(10/9))+-10.5)+-0.4</f>
        <v>-42.021746290000003</v>
      </c>
      <c r="F1879" s="4">
        <f>((-0.86780727*(1.3/1.5))*0.6)-0.3</f>
        <v>-0.75125978039999997</v>
      </c>
    </row>
    <row r="1880" spans="1:6" x14ac:dyDescent="0.4">
      <c r="A1880" s="4">
        <v>1643.40915</v>
      </c>
      <c r="B1880" s="4">
        <v>1.1142422999999999</v>
      </c>
      <c r="C1880" s="4">
        <v>1.1542612000000001</v>
      </c>
      <c r="D1880" s="4">
        <v>-29.150793999999998</v>
      </c>
      <c r="E1880" s="4">
        <f>((-34.5892833/(10/9))+-10.5)+-0.4</f>
        <v>-42.030354969999998</v>
      </c>
      <c r="F1880" s="4">
        <f>((-0.86812794*(1.3/1.5))*0.6)-0.3</f>
        <v>-0.75142652879999994</v>
      </c>
    </row>
    <row r="1881" spans="1:6" x14ac:dyDescent="0.4">
      <c r="A1881" s="4">
        <v>1644.284075</v>
      </c>
      <c r="B1881" s="4">
        <v>1.1144430999999999</v>
      </c>
      <c r="C1881" s="4">
        <v>1.1546443</v>
      </c>
      <c r="D1881" s="4">
        <v>-29.151623999999998</v>
      </c>
      <c r="E1881" s="4">
        <f>((-34.5752964/(10/9))+-10.5)+-0.4</f>
        <v>-42.017766759999994</v>
      </c>
      <c r="F1881" s="4">
        <f>((-0.86838442*(1.3/1.5))*0.6)-0.3</f>
        <v>-0.75155989840000004</v>
      </c>
    </row>
    <row r="1882" spans="1:6" x14ac:dyDescent="0.4">
      <c r="A1882" s="4">
        <v>1645.1590000000001</v>
      </c>
      <c r="B1882" s="4">
        <v>1.1146269</v>
      </c>
      <c r="C1882" s="4">
        <v>1.1549761000000001</v>
      </c>
      <c r="D1882" s="4">
        <v>-29.152004999999999</v>
      </c>
      <c r="E1882" s="4">
        <f>((-34.5834126/(10/9))+-10.5)+-0.4</f>
        <v>-42.025071340000004</v>
      </c>
      <c r="F1882" s="4">
        <f>((-0.8685593*(1.3/1.5))*0.6)-0.3</f>
        <v>-0.75165083600000004</v>
      </c>
    </row>
    <row r="1883" spans="1:6" x14ac:dyDescent="0.4">
      <c r="A1883" s="4">
        <v>1646.033925</v>
      </c>
      <c r="B1883" s="4">
        <v>1.1149081000000001</v>
      </c>
      <c r="C1883" s="4">
        <v>1.1550579000000001</v>
      </c>
      <c r="D1883" s="4">
        <v>-29.152521999999998</v>
      </c>
      <c r="E1883" s="4">
        <f>((-34.6017906/(10/9))+-10.5)+-0.4</f>
        <v>-42.041611539999998</v>
      </c>
      <c r="F1883" s="4">
        <f>((-0.86875618*(1.3/1.5))*0.6)-0.3</f>
        <v>-0.75175321360000003</v>
      </c>
    </row>
    <row r="1884" spans="1:6" x14ac:dyDescent="0.4">
      <c r="A1884" s="4">
        <v>1646.90885</v>
      </c>
      <c r="B1884" s="4">
        <v>1.1150228</v>
      </c>
      <c r="C1884" s="4">
        <v>1.1552517</v>
      </c>
      <c r="D1884" s="4">
        <v>-29.153220000000001</v>
      </c>
      <c r="E1884" s="4">
        <f>((-34.5278664/(10/9))+-10.5)+-0.4</f>
        <v>-41.975079759999993</v>
      </c>
      <c r="F1884" s="4">
        <f>((-0.86902398*(1.3/1.5))*0.6)-0.3</f>
        <v>-0.7518924696</v>
      </c>
    </row>
    <row r="1885" spans="1:6" x14ac:dyDescent="0.4">
      <c r="A1885" s="4">
        <v>1647.7837749999999</v>
      </c>
      <c r="B1885" s="4">
        <v>1.1152375999999999</v>
      </c>
      <c r="C1885" s="4">
        <v>1.1555666</v>
      </c>
      <c r="D1885" s="4">
        <v>-29.153797999999998</v>
      </c>
      <c r="E1885" s="4">
        <f>((-34.5668814/(10/9))+-10.5)+-0.4</f>
        <v>-42.010193260000001</v>
      </c>
      <c r="F1885" s="4">
        <f>((-0.86930311*(1.3/1.5))*0.6)-0.3</f>
        <v>-0.75203761720000006</v>
      </c>
    </row>
    <row r="1886" spans="1:6" x14ac:dyDescent="0.4">
      <c r="A1886" s="4">
        <v>1648.6587</v>
      </c>
      <c r="B1886" s="4">
        <v>1.1155181000000001</v>
      </c>
      <c r="C1886" s="4">
        <v>1.1556846000000001</v>
      </c>
      <c r="D1886" s="4">
        <v>-29.154563</v>
      </c>
      <c r="E1886" s="4">
        <f>((-34.562511/(10/9))+-10.5)+-0.4</f>
        <v>-42.006259899999996</v>
      </c>
      <c r="F1886" s="4">
        <f>((-0.86961681*(1.3/1.5))*0.6)-0.3</f>
        <v>-0.75220074120000002</v>
      </c>
    </row>
    <row r="1887" spans="1:6" x14ac:dyDescent="0.4">
      <c r="A1887" s="4">
        <v>1649.533625</v>
      </c>
      <c r="B1887" s="4">
        <v>1.1156999999999999</v>
      </c>
      <c r="C1887" s="4">
        <v>1.1558474999999999</v>
      </c>
      <c r="D1887" s="4">
        <v>-29.155253999999999</v>
      </c>
      <c r="E1887" s="4">
        <f>((-34.5171996/(10/9))+-10.5)+-0.4</f>
        <v>-41.965479639999991</v>
      </c>
      <c r="F1887" s="4">
        <f>((-0.86989921*(1.3/1.5))*0.6)-0.3</f>
        <v>-0.7523475892</v>
      </c>
    </row>
    <row r="1888" spans="1:6" x14ac:dyDescent="0.4">
      <c r="A1888" s="4">
        <v>1650.4085500000001</v>
      </c>
      <c r="B1888" s="4">
        <v>1.1158068999999999</v>
      </c>
      <c r="C1888" s="4">
        <v>1.1558033999999999</v>
      </c>
      <c r="D1888" s="4">
        <v>-29.156116000000001</v>
      </c>
      <c r="E1888" s="4">
        <f>((-34.5263184/(10/9))+-10.5)+-0.4</f>
        <v>-41.973686559999997</v>
      </c>
      <c r="F1888" s="4">
        <f>((-0.87023211*(1.3/1.5))*0.6)-0.3</f>
        <v>-0.75252069720000003</v>
      </c>
    </row>
    <row r="1889" spans="1:6" x14ac:dyDescent="0.4">
      <c r="A1889" s="4">
        <v>1651.2834750000002</v>
      </c>
      <c r="B1889" s="4">
        <v>1.1159716</v>
      </c>
      <c r="C1889" s="4">
        <v>1.1561722000000001</v>
      </c>
      <c r="D1889" s="4">
        <v>-29.156710999999998</v>
      </c>
      <c r="E1889" s="4">
        <f>((-34.5914838/(10/9))+-10.5)+-0.4</f>
        <v>-42.032335419999995</v>
      </c>
      <c r="F1889" s="4">
        <f>((-0.8705005*(1.3/1.5))*0.6)-0.3</f>
        <v>-0.75266026000000008</v>
      </c>
    </row>
    <row r="1890" spans="1:6" x14ac:dyDescent="0.4">
      <c r="A1890" s="4">
        <v>1652.1583999999998</v>
      </c>
      <c r="B1890" s="4">
        <v>1.1161144000000001</v>
      </c>
      <c r="C1890" s="4">
        <v>1.1564151</v>
      </c>
      <c r="D1890" s="4">
        <v>-29.157377999999998</v>
      </c>
      <c r="E1890" s="4">
        <f>((-34.5046473/(10/9))+-10.5)+-0.4</f>
        <v>-41.95418257</v>
      </c>
      <c r="F1890" s="4">
        <f>((-0.87084937*(1.3/1.5))*0.6)-0.3</f>
        <v>-0.75284167239999999</v>
      </c>
    </row>
    <row r="1891" spans="1:6" x14ac:dyDescent="0.4">
      <c r="A1891" s="4">
        <v>1653.0333249999999</v>
      </c>
      <c r="B1891" s="4">
        <v>1.116563</v>
      </c>
      <c r="C1891" s="4">
        <v>1.1565828</v>
      </c>
      <c r="D1891" s="4">
        <v>-29.158518999999998</v>
      </c>
      <c r="E1891" s="4">
        <f>((-34.5499866/(10/9))+-10.5)+-0.4</f>
        <v>-41.994987939999994</v>
      </c>
      <c r="F1891" s="4">
        <f>((-0.87115502*(1.3/1.5))*0.6)-0.3</f>
        <v>-0.75300061039999999</v>
      </c>
    </row>
    <row r="1892" spans="1:6" x14ac:dyDescent="0.4">
      <c r="A1892" s="4">
        <v>1653.90825</v>
      </c>
      <c r="B1892" s="4">
        <v>1.1165533000000001</v>
      </c>
      <c r="C1892" s="4">
        <v>1.156785</v>
      </c>
      <c r="D1892" s="4">
        <v>-29.159220999999999</v>
      </c>
      <c r="E1892" s="4">
        <f>((-34.5440916/(10/9))+-10.5)+-0.4</f>
        <v>-41.989682440000003</v>
      </c>
      <c r="F1892" s="4">
        <f>((-0.87152356*(1.3/1.5))*0.6)-0.3</f>
        <v>-0.7531922512</v>
      </c>
    </row>
    <row r="1893" spans="1:6" x14ac:dyDescent="0.4">
      <c r="A1893" s="4">
        <v>1654.783175</v>
      </c>
      <c r="B1893" s="4">
        <v>1.1168374999999999</v>
      </c>
      <c r="C1893" s="4">
        <v>1.1569476999999999</v>
      </c>
      <c r="D1893" s="4">
        <v>-29.159972</v>
      </c>
      <c r="E1893" s="4">
        <f>((-34.5072258/(10/9))+-10.5)+-0.4</f>
        <v>-41.956503219999995</v>
      </c>
      <c r="F1893" s="4">
        <f>((-0.87184662*(1.3/1.5))*0.6)-0.3</f>
        <v>-0.75336024239999999</v>
      </c>
    </row>
    <row r="1894" spans="1:6" x14ac:dyDescent="0.4">
      <c r="A1894" s="4">
        <v>1655.6581000000001</v>
      </c>
      <c r="B1894" s="4">
        <v>1.1168615</v>
      </c>
      <c r="C1894" s="4">
        <v>1.1571191999999999</v>
      </c>
      <c r="D1894" s="4">
        <v>-29.160858999999999</v>
      </c>
      <c r="E1894" s="4">
        <f>((-34.4880927/(10/9))+-10.5)+-0.4</f>
        <v>-41.939283429999996</v>
      </c>
      <c r="F1894" s="4">
        <f>((-0.87216139*(1.3/1.5))*0.6)-0.3</f>
        <v>-0.75352392280000002</v>
      </c>
    </row>
    <row r="1895" spans="1:6" x14ac:dyDescent="0.4">
      <c r="A1895" s="4">
        <v>1656.533025</v>
      </c>
      <c r="B1895" s="4">
        <v>1.1169363999999999</v>
      </c>
      <c r="C1895" s="4">
        <v>1.1571411</v>
      </c>
      <c r="D1895" s="4">
        <v>-29.161490999999998</v>
      </c>
      <c r="E1895" s="4">
        <f>((-34.4900421/(10/9))+-10.5)+-0.4</f>
        <v>-41.941037889999997</v>
      </c>
      <c r="F1895" s="4">
        <f>((-0.87253475*(1.3/1.5))*0.6)-0.3</f>
        <v>-0.75371807000000002</v>
      </c>
    </row>
    <row r="1896" spans="1:6" x14ac:dyDescent="0.4">
      <c r="A1896" s="4">
        <v>1657.40795</v>
      </c>
      <c r="B1896" s="4">
        <v>1.1173223999999999</v>
      </c>
      <c r="C1896" s="4">
        <v>1.1577542999999999</v>
      </c>
      <c r="D1896" s="4">
        <v>-29.162365999999999</v>
      </c>
      <c r="E1896" s="4">
        <f>((-34.4785653/(10/9))+-10.5)+-0.4</f>
        <v>-41.930708769999995</v>
      </c>
      <c r="F1896" s="4">
        <f>((-0.87292552*(1.3/1.5))*0.6)-0.3</f>
        <v>-0.75392127040000001</v>
      </c>
    </row>
    <row r="1897" spans="1:6" x14ac:dyDescent="0.4">
      <c r="A1897" s="4">
        <v>1658.2828750000001</v>
      </c>
      <c r="B1897" s="4">
        <v>1.1175208999999999</v>
      </c>
      <c r="C1897" s="4">
        <v>1.15777</v>
      </c>
      <c r="D1897" s="4">
        <v>-29.163025999999999</v>
      </c>
      <c r="E1897" s="4">
        <f>((-34.4888478/(10/9))+-10.5)+-0.4</f>
        <v>-41.93996302</v>
      </c>
      <c r="F1897" s="4">
        <f>((-0.87329829*(1.3/1.5))*0.6)-0.3</f>
        <v>-0.75411511079999993</v>
      </c>
    </row>
    <row r="1898" spans="1:6" x14ac:dyDescent="0.4">
      <c r="A1898" s="4">
        <v>1659.1578</v>
      </c>
      <c r="B1898" s="4">
        <v>1.1174895</v>
      </c>
      <c r="C1898" s="4">
        <v>1.1579600999999999</v>
      </c>
      <c r="D1898" s="4">
        <v>-29.163667</v>
      </c>
      <c r="E1898" s="4">
        <f>((-34.4786823/(10/9))+-10.5)+-0.4</f>
        <v>-41.930814070000004</v>
      </c>
      <c r="F1898" s="4">
        <f>((-0.87369466*(1.3/1.5))*0.6)-0.3</f>
        <v>-0.75432122320000006</v>
      </c>
    </row>
    <row r="1899" spans="1:6" x14ac:dyDescent="0.4">
      <c r="A1899" s="4">
        <v>1660.032725</v>
      </c>
      <c r="B1899" s="4">
        <v>1.1177831</v>
      </c>
      <c r="C1899" s="4">
        <v>1.1581680999999999</v>
      </c>
      <c r="D1899" s="4">
        <v>-29.164216</v>
      </c>
      <c r="E1899" s="4">
        <f>((-34.5109203/(10/9))+-10.5)+-0.4</f>
        <v>-41.959828269999996</v>
      </c>
      <c r="F1899" s="4">
        <f>((-0.87406808*(1.3/1.5))*0.6)-0.3</f>
        <v>-0.75451540159999997</v>
      </c>
    </row>
    <row r="1900" spans="1:6" x14ac:dyDescent="0.4">
      <c r="A1900" s="4">
        <v>1660.9076499999999</v>
      </c>
      <c r="B1900" s="4">
        <v>1.1181979</v>
      </c>
      <c r="C1900" s="4">
        <v>1.1584283</v>
      </c>
      <c r="D1900" s="4">
        <v>-29.165057000000001</v>
      </c>
      <c r="E1900" s="4">
        <f>((-34.4389698/(10/9))+-10.5)+-0.4</f>
        <v>-41.895072820000003</v>
      </c>
      <c r="F1900" s="4">
        <f>((-0.87441409*(1.3/1.5))*0.6)-0.3</f>
        <v>-0.75469532680000007</v>
      </c>
    </row>
    <row r="1901" spans="1:6" x14ac:dyDescent="0.4">
      <c r="A1901" s="4">
        <v>1661.782575</v>
      </c>
      <c r="B1901" s="4">
        <v>1.1182319000000001</v>
      </c>
      <c r="C1901" s="4">
        <v>1.1585723000000001</v>
      </c>
      <c r="D1901" s="4">
        <v>-29.165893000000001</v>
      </c>
      <c r="E1901" s="4">
        <f>((-34.449723/(10/9))+-10.5)+-0.4</f>
        <v>-41.904750700000001</v>
      </c>
      <c r="F1901" s="4">
        <f>((-0.87481016*(1.3/1.5))*0.6)-0.3</f>
        <v>-0.75490128319999994</v>
      </c>
    </row>
    <row r="1902" spans="1:6" x14ac:dyDescent="0.4">
      <c r="A1902" s="4">
        <v>1662.6575</v>
      </c>
      <c r="B1902" s="4">
        <v>1.1185117</v>
      </c>
      <c r="C1902" s="4">
        <v>1.1589497</v>
      </c>
      <c r="D1902" s="4">
        <v>-29.166796999999999</v>
      </c>
      <c r="E1902" s="4">
        <f>((-34.4512503/(10/9))+-10.5)+-0.4</f>
        <v>-41.906125269999997</v>
      </c>
      <c r="F1902" s="4">
        <f>((-0.87528527*(1.3/1.5))*0.6)-0.3</f>
        <v>-0.7551483403999999</v>
      </c>
    </row>
    <row r="1903" spans="1:6" x14ac:dyDescent="0.4">
      <c r="A1903" s="4">
        <v>1663.5324250000001</v>
      </c>
      <c r="B1903" s="4">
        <v>1.1186476000000001</v>
      </c>
      <c r="C1903" s="4">
        <v>1.1589501</v>
      </c>
      <c r="D1903" s="4">
        <v>-29.167459000000001</v>
      </c>
      <c r="E1903" s="4">
        <f>((-34.4399724/(10/9))+-10.5)+-0.4</f>
        <v>-41.895975159999999</v>
      </c>
      <c r="F1903" s="4">
        <f>((-0.87579566*(1.3/1.5))*0.6)-0.3</f>
        <v>-0.75541374319999999</v>
      </c>
    </row>
    <row r="1904" spans="1:6" x14ac:dyDescent="0.4">
      <c r="A1904" s="4">
        <v>1664.4073500000002</v>
      </c>
      <c r="B1904" s="4">
        <v>1.1188602000000001</v>
      </c>
      <c r="C1904" s="4">
        <v>1.1592069</v>
      </c>
      <c r="D1904" s="4">
        <v>-29.168648999999998</v>
      </c>
      <c r="E1904" s="4">
        <f>((-34.4726118/(10/9))+-10.5)+-0.4</f>
        <v>-41.925350619999996</v>
      </c>
      <c r="F1904" s="4">
        <f>((-0.87627107*(1.3/1.5))*0.6)-0.3</f>
        <v>-0.75566095640000008</v>
      </c>
    </row>
    <row r="1905" spans="1:6" x14ac:dyDescent="0.4">
      <c r="A1905" s="4">
        <v>1665.2822749999998</v>
      </c>
      <c r="B1905" s="4">
        <v>1.1187739000000001</v>
      </c>
      <c r="C1905" s="4">
        <v>1.1593996</v>
      </c>
      <c r="D1905" s="4">
        <v>-29.169618</v>
      </c>
      <c r="E1905" s="4">
        <f>((-34.4035386/(10/9))+-10.5)+-0.4</f>
        <v>-41.863184739999994</v>
      </c>
      <c r="F1905" s="4">
        <f>((-0.87670696*(1.3/1.5))*0.6)-0.3</f>
        <v>-0.75588761919999992</v>
      </c>
    </row>
    <row r="1906" spans="1:6" x14ac:dyDescent="0.4">
      <c r="A1906" s="4">
        <v>1666.1571999999999</v>
      </c>
      <c r="B1906" s="4">
        <v>1.1192067999999999</v>
      </c>
      <c r="C1906" s="4">
        <v>1.1598999999999999</v>
      </c>
      <c r="D1906" s="4">
        <v>-29.170448</v>
      </c>
      <c r="E1906" s="4">
        <f>((-34.4508111/(10/9))+-10.5)+-0.4</f>
        <v>-41.905729990000005</v>
      </c>
      <c r="F1906" s="4">
        <f>((-0.87720335*(1.3/1.5))*0.6)-0.3</f>
        <v>-0.75614574199999995</v>
      </c>
    </row>
    <row r="1907" spans="1:6" x14ac:dyDescent="0.4">
      <c r="A1907" s="4">
        <v>1667.032125</v>
      </c>
      <c r="B1907" s="4">
        <v>1.1193711</v>
      </c>
      <c r="C1907" s="4">
        <v>1.1599744999999999</v>
      </c>
      <c r="D1907" s="4">
        <v>-29.17154</v>
      </c>
      <c r="E1907" s="4">
        <f>((-34.4136051/(10/9))+-10.5)+-0.4</f>
        <v>-41.872244589999994</v>
      </c>
      <c r="F1907" s="4">
        <f>((-0.87774587*(1.3/1.5))*0.6)-0.3</f>
        <v>-0.7564278524000001</v>
      </c>
    </row>
    <row r="1908" spans="1:6" x14ac:dyDescent="0.4">
      <c r="A1908" s="4">
        <v>1667.90705</v>
      </c>
      <c r="B1908" s="4">
        <v>1.1194043</v>
      </c>
      <c r="C1908" s="4">
        <v>1.1602186999999999</v>
      </c>
      <c r="D1908" s="4">
        <v>-29.172533999999999</v>
      </c>
      <c r="E1908" s="4">
        <f>((-34.4225727/(10/9))+-10.5)+-0.4</f>
        <v>-41.880315430000003</v>
      </c>
      <c r="F1908" s="4">
        <f>((-0.87830126*(1.3/1.5))*0.6)-0.3</f>
        <v>-0.75671665519999998</v>
      </c>
    </row>
    <row r="1909" spans="1:6" x14ac:dyDescent="0.4">
      <c r="A1909" s="4">
        <v>1668.7819750000001</v>
      </c>
      <c r="B1909" s="4">
        <v>1.1197553</v>
      </c>
      <c r="C1909" s="4">
        <v>1.1604382</v>
      </c>
      <c r="D1909" s="4">
        <v>-29.173659999999998</v>
      </c>
      <c r="E1909" s="4">
        <f>((-34.4251404/(10/9))+-10.5)+-0.4</f>
        <v>-41.882626359999996</v>
      </c>
      <c r="F1909" s="4">
        <f>((-0.8788839*(1.3/1.5))*0.6)-0.3</f>
        <v>-0.757019628</v>
      </c>
    </row>
    <row r="1910" spans="1:6" x14ac:dyDescent="0.4">
      <c r="A1910" s="4">
        <v>1669.6569</v>
      </c>
      <c r="B1910" s="4">
        <v>1.1199135</v>
      </c>
      <c r="C1910" s="4">
        <v>1.1606262000000001</v>
      </c>
      <c r="D1910" s="4">
        <v>-29.174462999999999</v>
      </c>
      <c r="E1910" s="4">
        <f>((-34.3965006/(10/9))+-10.5)+-0.4</f>
        <v>-41.856850540000003</v>
      </c>
      <c r="F1910" s="4">
        <f>((-0.8794468*(1.3/1.5))*0.6)-0.3</f>
        <v>-0.75731233600000003</v>
      </c>
    </row>
    <row r="1911" spans="1:6" x14ac:dyDescent="0.4">
      <c r="A1911" s="4">
        <v>1670.531825</v>
      </c>
      <c r="B1911" s="4">
        <v>1.1202506000000001</v>
      </c>
      <c r="C1911" s="4">
        <v>1.1609254</v>
      </c>
      <c r="D1911" s="4">
        <v>-29.175521</v>
      </c>
      <c r="E1911" s="4">
        <f>((-34.4029896/(10/9))+-10.5)+-0.4</f>
        <v>-41.862690639999997</v>
      </c>
      <c r="F1911" s="4">
        <f>((-0.87997204*(1.3/1.5))*0.6)-0.3</f>
        <v>-0.7575854608</v>
      </c>
    </row>
    <row r="1912" spans="1:6" x14ac:dyDescent="0.4">
      <c r="A1912" s="4">
        <v>1671.4067500000001</v>
      </c>
      <c r="B1912" s="4">
        <v>1.1205309999999999</v>
      </c>
      <c r="C1912" s="4">
        <v>1.1610779</v>
      </c>
      <c r="D1912" s="4">
        <v>-29.176397999999999</v>
      </c>
      <c r="E1912" s="4">
        <f>((-34.3424169/(10/9))+-10.5)+-0.4</f>
        <v>-41.808175210000002</v>
      </c>
      <c r="F1912" s="4">
        <f>((-0.8805269*(1.3/1.5))*0.6)-0.3</f>
        <v>-0.75787398800000005</v>
      </c>
    </row>
    <row r="1913" spans="1:6" x14ac:dyDescent="0.4">
      <c r="A1913" s="4">
        <v>1672.281675</v>
      </c>
      <c r="B1913" s="4">
        <v>1.1205224</v>
      </c>
      <c r="C1913" s="4">
        <v>1.1613405000000001</v>
      </c>
      <c r="D1913" s="4">
        <v>-29.177506999999999</v>
      </c>
      <c r="E1913" s="4">
        <f>((-34.3924047/(10/9))+-10.5)+-0.4</f>
        <v>-41.853164229999997</v>
      </c>
      <c r="F1913" s="4">
        <f>((-0.88109982*(1.3/1.5))*0.6)-0.3</f>
        <v>-0.75817190639999998</v>
      </c>
    </row>
    <row r="1914" spans="1:6" x14ac:dyDescent="0.4">
      <c r="A1914" s="4">
        <v>1673.1566</v>
      </c>
      <c r="B1914" s="4">
        <v>1.1208229999999999</v>
      </c>
      <c r="C1914" s="4">
        <v>1.1615173999999999</v>
      </c>
      <c r="D1914" s="4">
        <v>-29.178518</v>
      </c>
      <c r="E1914" s="4">
        <f>((-34.376337/(10/9))+-10.5)+-0.4</f>
        <v>-41.838703299999999</v>
      </c>
      <c r="F1914" s="4">
        <f>((-0.88174289*(1.3/1.5))*0.6)-0.3</f>
        <v>-0.75850630279999987</v>
      </c>
    </row>
    <row r="1915" spans="1:6" x14ac:dyDescent="0.4">
      <c r="A1915" s="4">
        <v>1674.0315249999999</v>
      </c>
      <c r="B1915" s="4">
        <v>1.1209662</v>
      </c>
      <c r="C1915" s="4">
        <v>1.1617942000000001</v>
      </c>
      <c r="D1915" s="4">
        <v>-29.179507000000001</v>
      </c>
      <c r="E1915" s="4">
        <f>((-34.3673496/(10/9))+-10.5)+-0.4</f>
        <v>-41.830614639999993</v>
      </c>
      <c r="F1915" s="4">
        <f>((-0.88241184*(1.3/1.5))*0.6)-0.3</f>
        <v>-0.75885415680000001</v>
      </c>
    </row>
    <row r="1916" spans="1:6" x14ac:dyDescent="0.4">
      <c r="A1916" s="4">
        <v>1674.9064499999999</v>
      </c>
      <c r="B1916" s="4">
        <v>1.1211325000000001</v>
      </c>
      <c r="C1916" s="4">
        <v>1.1619256</v>
      </c>
      <c r="D1916" s="4">
        <v>-29.180693999999999</v>
      </c>
      <c r="E1916" s="4">
        <f>((-34.3440378/(10/9))+-10.5)+-0.4</f>
        <v>-41.809634019999997</v>
      </c>
      <c r="F1916" s="4">
        <f>((-0.88303083*(1.3/1.5))*0.6)-0.3</f>
        <v>-0.75917603160000002</v>
      </c>
    </row>
    <row r="1917" spans="1:6" x14ac:dyDescent="0.4">
      <c r="A1917" s="4">
        <v>1675.781375</v>
      </c>
      <c r="B1917" s="4">
        <v>1.1210055000000001</v>
      </c>
      <c r="C1917" s="4">
        <v>1.1620184</v>
      </c>
      <c r="D1917" s="4">
        <v>-29.181639999999998</v>
      </c>
      <c r="E1917" s="4">
        <f>((-34.3965177/(10/9))+-10.5)+-0.4</f>
        <v>-41.856865929999991</v>
      </c>
      <c r="F1917" s="4">
        <f>((-0.88369662*(1.3/1.5))*0.6)-0.3</f>
        <v>-0.75952224239999999</v>
      </c>
    </row>
    <row r="1918" spans="1:6" x14ac:dyDescent="0.4">
      <c r="A1918" s="4">
        <v>1676.6563000000001</v>
      </c>
      <c r="B1918" s="4">
        <v>1.1214310999999999</v>
      </c>
      <c r="C1918" s="4">
        <v>1.1622678</v>
      </c>
      <c r="D1918" s="4">
        <v>-29.18242</v>
      </c>
      <c r="E1918" s="4">
        <f>((-34.4111265/(10/9))+-10.5)+-0.4</f>
        <v>-41.870013849999999</v>
      </c>
      <c r="F1918" s="4">
        <f>((-0.88435286*(1.3/1.5))*0.6)-0.3</f>
        <v>-0.75986348719999997</v>
      </c>
    </row>
    <row r="1919" spans="1:6" x14ac:dyDescent="0.4">
      <c r="A1919" s="4">
        <v>1677.5312250000002</v>
      </c>
      <c r="B1919" s="4">
        <v>1.1217003999999999</v>
      </c>
      <c r="C1919" s="4">
        <v>1.1622994</v>
      </c>
      <c r="D1919" s="4">
        <v>-29.183225</v>
      </c>
      <c r="E1919" s="4">
        <f>((-34.3752867/(10/9))+-10.5)+-0.4</f>
        <v>-41.837758029999996</v>
      </c>
      <c r="F1919" s="4">
        <f>((-0.88499898*(1.3/1.5))*0.6)-0.3</f>
        <v>-0.76019946960000007</v>
      </c>
    </row>
    <row r="1920" spans="1:6" x14ac:dyDescent="0.4">
      <c r="A1920" s="4">
        <v>1678.4061499999998</v>
      </c>
      <c r="B1920" s="4">
        <v>1.1218227000000001</v>
      </c>
      <c r="C1920" s="4">
        <v>1.1627023000000001</v>
      </c>
      <c r="D1920" s="4">
        <v>-29.184218999999999</v>
      </c>
      <c r="E1920" s="4">
        <f>((-34.37334/(10/9))+-10.5)+-0.4</f>
        <v>-41.836005999999998</v>
      </c>
      <c r="F1920" s="4">
        <f>((-0.88559872*(1.3/1.5))*0.6)-0.3</f>
        <v>-0.76051133439999996</v>
      </c>
    </row>
    <row r="1921" spans="1:6" x14ac:dyDescent="0.4">
      <c r="A1921" s="4">
        <v>1679.2810749999999</v>
      </c>
      <c r="B1921" s="4">
        <v>1.1219668</v>
      </c>
      <c r="C1921" s="4">
        <v>1.1629134000000001</v>
      </c>
      <c r="D1921" s="4">
        <v>-29.185184</v>
      </c>
      <c r="E1921" s="4">
        <f>((-34.3732788/(10/9))+-10.5)+-0.4</f>
        <v>-41.835950919999995</v>
      </c>
      <c r="F1921" s="4">
        <f>((-0.88624632*(1.3/1.5))*0.6)-0.3</f>
        <v>-0.76084808640000001</v>
      </c>
    </row>
    <row r="1922" spans="1:6" x14ac:dyDescent="0.4">
      <c r="A1922" s="4">
        <v>1680.1559999999999</v>
      </c>
      <c r="B1922" s="4">
        <v>1.1222398</v>
      </c>
      <c r="C1922" s="4">
        <v>1.1630035999999999</v>
      </c>
      <c r="D1922" s="4">
        <v>-29.185845999999998</v>
      </c>
      <c r="E1922" s="4">
        <f>((-34.3519722/(10/9))+-10.5)+-0.4</f>
        <v>-41.816774979999998</v>
      </c>
      <c r="F1922" s="4">
        <f>((-0.88690913*(1.3/1.5))*0.6)-0.3</f>
        <v>-0.7611927476</v>
      </c>
    </row>
    <row r="1923" spans="1:6" x14ac:dyDescent="0.4">
      <c r="A1923" s="4">
        <v>1681.030925</v>
      </c>
      <c r="B1923" s="4">
        <v>1.1224295</v>
      </c>
      <c r="C1923" s="4">
        <v>1.1634070000000001</v>
      </c>
      <c r="D1923" s="4">
        <v>-29.186506999999999</v>
      </c>
      <c r="E1923" s="4">
        <f>((-34.3434366/(10/9))+-10.5)+-0.4</f>
        <v>-41.809092939999992</v>
      </c>
      <c r="F1923" s="4">
        <f>((-0.88751692*(1.3/1.5))*0.6)-0.3</f>
        <v>-0.76150879839999996</v>
      </c>
    </row>
    <row r="1924" spans="1:6" x14ac:dyDescent="0.4">
      <c r="A1924" s="4">
        <v>1681.9058500000001</v>
      </c>
      <c r="B1924" s="4">
        <v>1.1226517</v>
      </c>
      <c r="C1924" s="4">
        <v>1.1635039</v>
      </c>
      <c r="D1924" s="4">
        <v>-29.187473999999998</v>
      </c>
      <c r="E1924" s="4">
        <f>((-34.3048401/(10/9))+-10.5)+-0.4</f>
        <v>-41.774356089999998</v>
      </c>
      <c r="F1924" s="4">
        <f>((-0.88815415*(1.3/1.5))*0.6)-0.3</f>
        <v>-0.76184015799999993</v>
      </c>
    </row>
    <row r="1925" spans="1:6" x14ac:dyDescent="0.4">
      <c r="A1925" s="4">
        <v>1682.7807749999999</v>
      </c>
      <c r="B1925" s="4">
        <v>1.1228049</v>
      </c>
      <c r="C1925" s="4">
        <v>1.1637576000000001</v>
      </c>
      <c r="D1925" s="4">
        <v>-29.188534999999998</v>
      </c>
      <c r="E1925" s="4">
        <f>((-34.3498914/(10/9))+-10.5)+-0.4</f>
        <v>-41.81490225999999</v>
      </c>
      <c r="F1925" s="4">
        <f>((-0.8889311*(1.3/1.5))*0.6)-0.3</f>
        <v>-0.76224417199999994</v>
      </c>
    </row>
    <row r="1926" spans="1:6" x14ac:dyDescent="0.4">
      <c r="A1926" s="4">
        <v>1683.6557</v>
      </c>
      <c r="B1926" s="4">
        <v>1.1230009999999999</v>
      </c>
      <c r="C1926" s="4">
        <v>1.1638550999999999</v>
      </c>
      <c r="D1926" s="4">
        <v>-29.189222999999998</v>
      </c>
      <c r="E1926" s="4">
        <f>((-34.3308681/(10/9))+-10.5)+-0.4</f>
        <v>-41.797781289999996</v>
      </c>
      <c r="F1926" s="4">
        <f>((-0.88971561*(1.3/1.5))*0.6)-0.3</f>
        <v>-0.76265211720000003</v>
      </c>
    </row>
    <row r="1927" spans="1:6" x14ac:dyDescent="0.4">
      <c r="A1927" s="4">
        <v>1684.5306250000001</v>
      </c>
      <c r="B1927" s="4">
        <v>1.1229131999999999</v>
      </c>
      <c r="C1927" s="4">
        <v>1.1642153</v>
      </c>
      <c r="D1927" s="4">
        <v>-29.190048999999998</v>
      </c>
      <c r="E1927" s="4">
        <f>((-34.3570599/(10/9))+-10.5)+-0.4</f>
        <v>-41.821353909999999</v>
      </c>
      <c r="F1927" s="4">
        <f>((-0.89043802*(1.3/1.5))*0.6)-0.3</f>
        <v>-0.76302777040000003</v>
      </c>
    </row>
    <row r="1928" spans="1:6" x14ac:dyDescent="0.4">
      <c r="A1928" s="4">
        <v>1685.4055499999999</v>
      </c>
      <c r="B1928" s="4">
        <v>1.123435</v>
      </c>
      <c r="C1928" s="4">
        <v>1.1643583</v>
      </c>
      <c r="D1928" s="4">
        <v>-29.190866</v>
      </c>
      <c r="E1928" s="4">
        <f>((-34.325361/(10/9))+-10.5)+-0.4</f>
        <v>-41.792824899999999</v>
      </c>
      <c r="F1928" s="4">
        <f>((-0.8911261*(1.3/1.5))*0.6)-0.3</f>
        <v>-0.76338557200000001</v>
      </c>
    </row>
    <row r="1929" spans="1:6" x14ac:dyDescent="0.4">
      <c r="A1929" s="4">
        <v>1686.280475</v>
      </c>
      <c r="B1929" s="4">
        <v>1.1236671</v>
      </c>
      <c r="C1929" s="4">
        <v>1.1645422000000001</v>
      </c>
      <c r="D1929" s="4">
        <v>-29.191773999999999</v>
      </c>
      <c r="E1929" s="4">
        <f>((-34.2837945/(10/9))+-10.5)+-0.4</f>
        <v>-41.755415049999996</v>
      </c>
      <c r="F1929" s="4">
        <f>((-0.89182311*(1.3/1.5))*0.6)-0.3</f>
        <v>-0.76374801719999996</v>
      </c>
    </row>
    <row r="1930" spans="1:6" x14ac:dyDescent="0.4">
      <c r="A1930" s="4">
        <v>1687.1553999999999</v>
      </c>
      <c r="B1930" s="4">
        <v>1.1238098000000001</v>
      </c>
      <c r="C1930" s="4">
        <v>1.1649626</v>
      </c>
      <c r="D1930" s="4">
        <v>-29.192568999999999</v>
      </c>
      <c r="E1930" s="4">
        <f>((-34.3293912/(10/9))+-10.5)+-0.4</f>
        <v>-41.796452080000002</v>
      </c>
      <c r="F1930" s="4">
        <f>((-0.89256984*(1.3/1.5))*0.6)-0.3</f>
        <v>-0.76413631679999994</v>
      </c>
    </row>
    <row r="1931" spans="1:6" x14ac:dyDescent="0.4">
      <c r="A1931" s="4">
        <v>1688.0303249999999</v>
      </c>
      <c r="B1931" s="4">
        <v>1.1241186999999999</v>
      </c>
      <c r="C1931" s="4">
        <v>1.1652427999999999</v>
      </c>
      <c r="D1931" s="4">
        <v>-29.193087999999999</v>
      </c>
      <c r="E1931" s="4">
        <f>((-34.2839322/(10/9))+-10.5)+-0.4</f>
        <v>-41.755538980000004</v>
      </c>
      <c r="F1931" s="4">
        <f>((-0.89337283*(1.3/1.5))*0.6)-0.3</f>
        <v>-0.76455387159999999</v>
      </c>
    </row>
    <row r="1932" spans="1:6" x14ac:dyDescent="0.4">
      <c r="A1932" s="4">
        <v>1688.90525</v>
      </c>
      <c r="B1932" s="4">
        <v>1.1244795000000001</v>
      </c>
      <c r="C1932" s="4">
        <v>1.1654111</v>
      </c>
      <c r="D1932" s="4">
        <v>-29.193857999999999</v>
      </c>
      <c r="E1932" s="4">
        <f>((-34.3285641/(10/9))+-10.5)+-0.4</f>
        <v>-41.795707689999993</v>
      </c>
      <c r="F1932" s="4">
        <f>((-0.89406323*(1.3/1.5))*0.6)-0.3</f>
        <v>-0.76491287959999998</v>
      </c>
    </row>
    <row r="1933" spans="1:6" x14ac:dyDescent="0.4">
      <c r="A1933" s="4">
        <v>1689.7801750000001</v>
      </c>
      <c r="B1933" s="4">
        <v>1.1244531</v>
      </c>
      <c r="C1933" s="4">
        <v>1.1655667000000001</v>
      </c>
      <c r="D1933" s="4">
        <v>-29.194777999999999</v>
      </c>
      <c r="E1933" s="4">
        <f>((-34.236162/(10/9))+-10.5)+-0.4</f>
        <v>-41.712545799999994</v>
      </c>
      <c r="F1933" s="4">
        <f>((-0.89475685*(1.3/1.5))*0.6)-0.3</f>
        <v>-0.76527356199999996</v>
      </c>
    </row>
    <row r="1934" spans="1:6" x14ac:dyDescent="0.4">
      <c r="A1934" s="4">
        <v>1690.6551000000002</v>
      </c>
      <c r="B1934" s="4">
        <v>1.1247209</v>
      </c>
      <c r="C1934" s="4">
        <v>1.1657649999999999</v>
      </c>
      <c r="D1934" s="4">
        <v>-29.195567</v>
      </c>
      <c r="E1934" s="4">
        <f>((-34.2458613/(10/9))+-10.5)+-0.4</f>
        <v>-41.721275169999998</v>
      </c>
      <c r="F1934" s="4">
        <f>((-0.89550221*(1.3/1.5))*0.6)-0.3</f>
        <v>-0.76566114919999995</v>
      </c>
    </row>
    <row r="1935" spans="1:6" x14ac:dyDescent="0.4">
      <c r="A1935" s="4">
        <v>1691.5300249999998</v>
      </c>
      <c r="B1935" s="4">
        <v>1.1246425</v>
      </c>
      <c r="C1935" s="4">
        <v>1.1659077</v>
      </c>
      <c r="D1935" s="4">
        <v>-29.196543999999999</v>
      </c>
      <c r="E1935" s="4">
        <f>((-34.2409923/(10/9))+-10.5)+-0.4</f>
        <v>-41.716893069999998</v>
      </c>
      <c r="F1935" s="4">
        <f>((-0.89621317*(1.3/1.5))*0.6)-0.3</f>
        <v>-0.76603084840000002</v>
      </c>
    </row>
    <row r="1936" spans="1:6" x14ac:dyDescent="0.4">
      <c r="A1936" s="4">
        <v>1692.4049499999999</v>
      </c>
      <c r="B1936" s="4">
        <v>1.1253005</v>
      </c>
      <c r="C1936" s="4">
        <v>1.1664072999999999</v>
      </c>
      <c r="D1936" s="4">
        <v>-29.197296999999999</v>
      </c>
      <c r="E1936" s="4">
        <f>((-34.2448623/(10/9))+-10.5)+-0.4</f>
        <v>-41.720376069999993</v>
      </c>
      <c r="F1936" s="4">
        <f>((-0.89696538*(1.3/1.5))*0.6)-0.3</f>
        <v>-0.76642199759999996</v>
      </c>
    </row>
    <row r="1937" spans="1:6" x14ac:dyDescent="0.4">
      <c r="A1937" s="4">
        <v>1693.2798749999999</v>
      </c>
      <c r="B1937" s="4">
        <v>1.1255643</v>
      </c>
      <c r="C1937" s="4">
        <v>1.1667223</v>
      </c>
      <c r="D1937" s="4">
        <v>-29.198425</v>
      </c>
      <c r="E1937" s="4">
        <f>((-34.2139221/(10/9))+-10.5)+-0.4</f>
        <v>-41.692529889999996</v>
      </c>
      <c r="F1937" s="4">
        <f>((-0.89783323*(1.3/1.5))*0.6)-0.3</f>
        <v>-0.76687327959999996</v>
      </c>
    </row>
    <row r="1938" spans="1:6" x14ac:dyDescent="0.4">
      <c r="A1938" s="4">
        <v>1694.1548</v>
      </c>
      <c r="B1938" s="4">
        <v>1.1258284000000001</v>
      </c>
      <c r="C1938" s="4">
        <v>1.1668563000000001</v>
      </c>
      <c r="D1938" s="4">
        <v>-29.199603</v>
      </c>
      <c r="E1938" s="4">
        <f>((-34.2422901/(10/9))+-10.5)+-0.4</f>
        <v>-41.718061089999999</v>
      </c>
      <c r="F1938" s="4">
        <f>((-0.89864177*(1.3/1.5))*0.6)-0.3</f>
        <v>-0.76729372039999999</v>
      </c>
    </row>
    <row r="1939" spans="1:6" x14ac:dyDescent="0.4">
      <c r="A1939" s="4">
        <v>1695.0297250000001</v>
      </c>
      <c r="B1939" s="4">
        <v>1.1258977999999999</v>
      </c>
      <c r="C1939" s="4">
        <v>1.1669571000000001</v>
      </c>
      <c r="D1939" s="4">
        <v>-29.200654</v>
      </c>
      <c r="E1939" s="4">
        <f>((-34.2543312/(10/9))+-10.5)+-0.4</f>
        <v>-41.72889808</v>
      </c>
      <c r="F1939" s="4">
        <f>((-0.89942455*(1.3/1.5))*0.6)-0.3</f>
        <v>-0.76770076599999992</v>
      </c>
    </row>
    <row r="1940" spans="1:6" x14ac:dyDescent="0.4">
      <c r="A1940" s="4">
        <v>1695.9046499999999</v>
      </c>
      <c r="B1940" s="4">
        <v>1.1259995</v>
      </c>
      <c r="C1940" s="4">
        <v>1.1672373</v>
      </c>
      <c r="D1940" s="4">
        <v>-29.201965999999999</v>
      </c>
      <c r="E1940" s="4">
        <f>((-34.2359766/(10/9))+-10.5)+-0.4</f>
        <v>-41.712378940000001</v>
      </c>
      <c r="F1940" s="4">
        <f>((-0.90025538*(1.3/1.5))*0.6)-0.3</f>
        <v>-0.76813279760000008</v>
      </c>
    </row>
    <row r="1941" spans="1:6" x14ac:dyDescent="0.4">
      <c r="A1941" s="4">
        <v>1696.779575</v>
      </c>
      <c r="B1941" s="4">
        <v>1.1261177</v>
      </c>
      <c r="C1941" s="4">
        <v>1.1674004</v>
      </c>
      <c r="D1941" s="4">
        <v>-29.202914</v>
      </c>
      <c r="E1941" s="4">
        <f>((-34.2250938/(10/9))+-10.5)+-0.4</f>
        <v>-41.702584420000001</v>
      </c>
      <c r="F1941" s="4">
        <f>((-0.90114772*(1.3/1.5))*0.6)-0.3</f>
        <v>-0.76859681439999994</v>
      </c>
    </row>
    <row r="1942" spans="1:6" x14ac:dyDescent="0.4">
      <c r="A1942" s="4">
        <v>1697.6545000000001</v>
      </c>
      <c r="B1942" s="4">
        <v>1.1262295</v>
      </c>
      <c r="C1942" s="4">
        <v>1.1674749</v>
      </c>
      <c r="D1942" s="4">
        <v>-29.203631999999999</v>
      </c>
      <c r="E1942" s="4">
        <f>((-34.1817075/(10/9))+-10.5)+-0.4</f>
        <v>-41.663536749999999</v>
      </c>
      <c r="F1942" s="4">
        <f>((-0.90189582*(1.3/1.5))*0.6)-0.3</f>
        <v>-0.76898582640000002</v>
      </c>
    </row>
    <row r="1943" spans="1:6" x14ac:dyDescent="0.4">
      <c r="A1943" s="4">
        <v>1698.5294249999999</v>
      </c>
      <c r="B1943" s="4">
        <v>1.1266400999999999</v>
      </c>
      <c r="C1943" s="4">
        <v>1.1678386999999999</v>
      </c>
      <c r="D1943" s="4">
        <v>-29.204545</v>
      </c>
      <c r="E1943" s="4">
        <f>((-34.2018882/(10/9))+-10.5)+-0.4</f>
        <v>-41.681699379999998</v>
      </c>
      <c r="F1943" s="4">
        <f>((-0.9026193*(1.3/1.5))*0.6)-0.3</f>
        <v>-0.76936203599999997</v>
      </c>
    </row>
    <row r="1944" spans="1:6" x14ac:dyDescent="0.4">
      <c r="A1944" s="4">
        <v>1699.40435</v>
      </c>
      <c r="B1944" s="4">
        <v>1.1267605999999999</v>
      </c>
      <c r="C1944" s="4">
        <v>1.1683600000000001</v>
      </c>
      <c r="D1944" s="4">
        <v>-29.205286999999998</v>
      </c>
      <c r="E1944" s="4">
        <f>((-34.2508806/(10/9))+-10.5)+-0.4</f>
        <v>-41.72579254</v>
      </c>
      <c r="F1944" s="4">
        <f>((-0.90331078*(1.3/1.5))*0.6)-0.3</f>
        <v>-0.76972160560000003</v>
      </c>
    </row>
    <row r="1945" spans="1:6" x14ac:dyDescent="0.4">
      <c r="A1945" s="4">
        <v>1700.2792749999999</v>
      </c>
      <c r="B1945" s="4">
        <v>1.1270692</v>
      </c>
      <c r="C1945" s="4">
        <v>1.16855</v>
      </c>
      <c r="D1945" s="4">
        <v>-29.206083</v>
      </c>
      <c r="E1945" s="4">
        <f>((-34.2126819/(10/9))+-10.5)+-0.4</f>
        <v>-41.691413709999999</v>
      </c>
      <c r="F1945" s="4">
        <f>((-0.90403157*(1.3/1.5))*0.6)-0.3</f>
        <v>-0.77009641639999993</v>
      </c>
    </row>
    <row r="1946" spans="1:6" x14ac:dyDescent="0.4">
      <c r="A1946" s="4">
        <v>1701.1541999999999</v>
      </c>
      <c r="B1946" s="4">
        <v>1.1272966</v>
      </c>
      <c r="C1946" s="4">
        <v>1.1687632999999999</v>
      </c>
      <c r="D1946" s="4">
        <v>-29.206928999999999</v>
      </c>
      <c r="E1946" s="4">
        <f>((-34.1946891/(10/9))+-10.5)+-0.4</f>
        <v>-41.675220189999997</v>
      </c>
      <c r="F1946" s="4">
        <f>((-0.90471512*(1.3/1.5))*0.6)-0.3</f>
        <v>-0.77045186240000008</v>
      </c>
    </row>
    <row r="1947" spans="1:6" x14ac:dyDescent="0.4">
      <c r="A1947" s="4">
        <v>1702.029125</v>
      </c>
      <c r="B1947" s="4">
        <v>1.1273253999999999</v>
      </c>
      <c r="C1947" s="4">
        <v>1.1688346999999999</v>
      </c>
      <c r="D1947" s="4">
        <v>-29.207694</v>
      </c>
      <c r="E1947" s="4">
        <f>((-34.1655615/(10/9))+-10.5)+-0.4</f>
        <v>-41.649005350000003</v>
      </c>
      <c r="F1947" s="4">
        <f>((-0.90538538*(1.3/1.5))*0.6)-0.3</f>
        <v>-0.77080039759999996</v>
      </c>
    </row>
    <row r="1948" spans="1:6" x14ac:dyDescent="0.4">
      <c r="A1948" s="4">
        <v>1702.9040500000001</v>
      </c>
      <c r="B1948" s="4">
        <v>1.1276922</v>
      </c>
      <c r="C1948" s="4">
        <v>1.1691511000000001</v>
      </c>
      <c r="D1948" s="4">
        <v>-29.208553999999999</v>
      </c>
      <c r="E1948" s="4">
        <f>((-34.1999829/(10/9))+-10.5)+-0.4</f>
        <v>-41.679984609999998</v>
      </c>
      <c r="F1948" s="4">
        <f>((-0.9061268*(1.3/1.5))*0.6)-0.3</f>
        <v>-0.77118593599999996</v>
      </c>
    </row>
    <row r="1949" spans="1:6" x14ac:dyDescent="0.4">
      <c r="A1949" s="4">
        <v>1703.7789750000002</v>
      </c>
      <c r="B1949" s="4">
        <v>1.1280079000000001</v>
      </c>
      <c r="C1949" s="4">
        <v>1.1691916</v>
      </c>
      <c r="D1949" s="4">
        <v>-29.208864999999999</v>
      </c>
      <c r="E1949" s="4">
        <f>((-34.1787825/(10/9))+-10.5)+-0.4</f>
        <v>-41.660904249999994</v>
      </c>
      <c r="F1949" s="4">
        <f>((-0.90687257*(1.3/1.5))*0.6)-0.3</f>
        <v>-0.77157373639999993</v>
      </c>
    </row>
    <row r="1950" spans="1:6" x14ac:dyDescent="0.4">
      <c r="A1950" s="4">
        <v>1704.6538999999998</v>
      </c>
      <c r="B1950" s="4">
        <v>1.1280041999999999</v>
      </c>
      <c r="C1950" s="4">
        <v>1.1695107</v>
      </c>
      <c r="D1950" s="4">
        <v>-29.209529</v>
      </c>
      <c r="E1950" s="4">
        <f>((-34.1956368/(10/9))+-10.5)+-0.4</f>
        <v>-41.676073119999998</v>
      </c>
      <c r="F1950" s="4">
        <f>((-0.90756822*(1.3/1.5))*0.6)-0.3</f>
        <v>-0.77193547439999999</v>
      </c>
    </row>
    <row r="1951" spans="1:6" x14ac:dyDescent="0.4">
      <c r="A1951" s="4">
        <v>1705.5288249999999</v>
      </c>
      <c r="B1951" s="4">
        <v>1.1281418999999999</v>
      </c>
      <c r="C1951" s="4">
        <v>1.1696869999999999</v>
      </c>
      <c r="D1951" s="4">
        <v>-29.210151</v>
      </c>
      <c r="E1951" s="4">
        <f>((-34.1167923/(10/9))+-10.5)+-0.4</f>
        <v>-41.605113069999994</v>
      </c>
      <c r="F1951" s="4">
        <f>((-0.90832013*(1.3/1.5))*0.6)-0.3</f>
        <v>-0.77232646760000001</v>
      </c>
    </row>
    <row r="1952" spans="1:6" x14ac:dyDescent="0.4">
      <c r="A1952" s="4">
        <v>1706.4037499999999</v>
      </c>
      <c r="B1952" s="4">
        <v>1.1284335000000001</v>
      </c>
      <c r="C1952" s="4">
        <v>1.1700476</v>
      </c>
      <c r="D1952" s="4">
        <v>-29.210878000000001</v>
      </c>
      <c r="E1952" s="4">
        <f>((-34.1992584/(10/9))+-10.5)+-0.4</f>
        <v>-41.679332559999999</v>
      </c>
      <c r="F1952" s="4">
        <f>((-0.90898764*(1.3/1.5))*0.6)-0.3</f>
        <v>-0.77267357280000004</v>
      </c>
    </row>
    <row r="1953" spans="1:6" x14ac:dyDescent="0.4">
      <c r="A1953" s="4">
        <v>1707.278675</v>
      </c>
      <c r="B1953" s="4">
        <v>1.1285634</v>
      </c>
      <c r="C1953" s="4">
        <v>1.1702207</v>
      </c>
      <c r="D1953" s="4">
        <v>-29.211793</v>
      </c>
      <c r="E1953" s="4">
        <f>((-34.1276067/(10/9))+-10.5)+-0.4</f>
        <v>-41.614846030000002</v>
      </c>
      <c r="F1953" s="4">
        <f>((-0.90968096*(1.3/1.5))*0.6)-0.3</f>
        <v>-0.77303409919999999</v>
      </c>
    </row>
    <row r="1954" spans="1:6" x14ac:dyDescent="0.4">
      <c r="A1954" s="4">
        <v>1708.1536000000001</v>
      </c>
      <c r="B1954" s="4">
        <v>1.1287752</v>
      </c>
      <c r="C1954" s="4">
        <v>1.1703334000000001</v>
      </c>
      <c r="D1954" s="4">
        <v>-29.212910999999998</v>
      </c>
      <c r="E1954" s="4">
        <f>((-34.1510967/(10/9))+-10.5)+-0.4</f>
        <v>-41.635987029999995</v>
      </c>
      <c r="F1954" s="4">
        <f>((-0.91035539*(1.3/1.5))*0.6)-0.3</f>
        <v>-0.77338480279999988</v>
      </c>
    </row>
    <row r="1955" spans="1:6" x14ac:dyDescent="0.4">
      <c r="A1955" s="4">
        <v>1709.0285249999999</v>
      </c>
      <c r="B1955" s="4">
        <v>1.1286817</v>
      </c>
      <c r="C1955" s="4">
        <v>1.1704947000000001</v>
      </c>
      <c r="D1955" s="4">
        <v>-29.213781000000001</v>
      </c>
      <c r="E1955" s="4">
        <f>((-34.2278019/(10/9))+-10.5)+-0.4</f>
        <v>-41.705021710000004</v>
      </c>
      <c r="F1955" s="4">
        <f>((-0.9110716*(1.3/1.5))*0.6)-0.3</f>
        <v>-0.77375723200000002</v>
      </c>
    </row>
    <row r="1956" spans="1:6" x14ac:dyDescent="0.4">
      <c r="A1956" s="4">
        <v>1709.90345</v>
      </c>
      <c r="B1956" s="4">
        <v>1.1291541</v>
      </c>
      <c r="C1956" s="4">
        <v>1.1707795000000001</v>
      </c>
      <c r="D1956" s="4">
        <v>-29.214697999999999</v>
      </c>
      <c r="E1956" s="4">
        <f>((-34.1633673/(10/9))+-10.5)+-0.4</f>
        <v>-41.647030569999991</v>
      </c>
      <c r="F1956" s="4">
        <f>((-0.9118048*(1.3/1.5))*0.6)-0.3</f>
        <v>-0.77413849599999995</v>
      </c>
    </row>
    <row r="1957" spans="1:6" x14ac:dyDescent="0.4">
      <c r="A1957" s="4">
        <v>1710.7783750000001</v>
      </c>
      <c r="B1957" s="4">
        <v>1.1292708</v>
      </c>
      <c r="C1957" s="4">
        <v>1.1711655999999999</v>
      </c>
      <c r="D1957" s="4">
        <v>-29.215675999999998</v>
      </c>
      <c r="E1957" s="4">
        <f>((-34.1498133/(10/9))+-10.5)+-0.4</f>
        <v>-41.63483197</v>
      </c>
      <c r="F1957" s="4">
        <f>((-0.91248512*(1.3/1.5))*0.6)-0.3</f>
        <v>-0.77449226240000002</v>
      </c>
    </row>
    <row r="1958" spans="1:6" x14ac:dyDescent="0.4">
      <c r="A1958" s="4">
        <v>1711.6532999999999</v>
      </c>
      <c r="B1958" s="4">
        <v>1.1296983</v>
      </c>
      <c r="C1958" s="4">
        <v>1.1715494</v>
      </c>
      <c r="D1958" s="4">
        <v>-29.216964000000001</v>
      </c>
      <c r="E1958" s="4">
        <f>((-34.1169912/(10/9))+-10.5)+-0.4</f>
        <v>-41.605292079999998</v>
      </c>
      <c r="F1958" s="4">
        <f>((-0.91317892*(1.3/1.5))*0.6)-0.3</f>
        <v>-0.77485303839999997</v>
      </c>
    </row>
    <row r="1959" spans="1:6" x14ac:dyDescent="0.4">
      <c r="A1959" s="4">
        <v>1712.528225</v>
      </c>
      <c r="B1959" s="4">
        <v>1.1298344</v>
      </c>
      <c r="C1959" s="4">
        <v>1.1717341999999999</v>
      </c>
      <c r="D1959" s="4">
        <v>-29.218059</v>
      </c>
      <c r="E1959" s="4">
        <f>((-34.0873074/(10/9))+-10.5)+-0.4</f>
        <v>-41.578576659999996</v>
      </c>
      <c r="F1959" s="4">
        <f>((-0.91391504*(1.3/1.5))*0.6)-0.3</f>
        <v>-0.77523582079999998</v>
      </c>
    </row>
    <row r="1960" spans="1:6" x14ac:dyDescent="0.4">
      <c r="A1960" s="4">
        <v>1713.4031499999999</v>
      </c>
      <c r="B1960" s="4">
        <v>1.1299893000000001</v>
      </c>
      <c r="C1960" s="4">
        <v>1.1720085</v>
      </c>
      <c r="D1960" s="4">
        <v>-29.219113999999998</v>
      </c>
      <c r="E1960" s="4">
        <f>((-34.1340102/(10/9))+-10.5)+-0.4</f>
        <v>-41.620609179999995</v>
      </c>
      <c r="F1960" s="4">
        <f>((-0.91466331*(1.3/1.5))*0.6)-0.3</f>
        <v>-0.77562492119999993</v>
      </c>
    </row>
    <row r="1961" spans="1:6" x14ac:dyDescent="0.4">
      <c r="A1961" s="4">
        <v>1714.2780749999999</v>
      </c>
      <c r="B1961" s="4">
        <v>1.1304018</v>
      </c>
      <c r="C1961" s="4">
        <v>1.1723771000000001</v>
      </c>
      <c r="D1961" s="4">
        <v>-29.219915</v>
      </c>
      <c r="E1961" s="4">
        <f>((-34.097958/(10/9))+-10.5)+-0.4</f>
        <v>-41.588162199999992</v>
      </c>
      <c r="F1961" s="4">
        <f>((-0.91533816*(1.3/1.5))*0.6)-0.3</f>
        <v>-0.7759758431999999</v>
      </c>
    </row>
    <row r="1962" spans="1:6" x14ac:dyDescent="0.4">
      <c r="A1962" s="4">
        <v>1715.153</v>
      </c>
      <c r="B1962" s="4">
        <v>1.1305320000000001</v>
      </c>
      <c r="C1962" s="4">
        <v>1.1722834</v>
      </c>
      <c r="D1962" s="4">
        <v>-29.220583999999999</v>
      </c>
      <c r="E1962" s="4">
        <f>((-34.0789311/(10/9))+-10.5)+-0.4</f>
        <v>-41.571037990000001</v>
      </c>
      <c r="F1962" s="4">
        <f>((-0.91600394*(1.3/1.5))*0.6)-0.3</f>
        <v>-0.7763220488</v>
      </c>
    </row>
    <row r="1963" spans="1:6" x14ac:dyDescent="0.4">
      <c r="A1963" s="4">
        <v>1716.0279250000001</v>
      </c>
      <c r="B1963" s="4">
        <v>1.1308556999999999</v>
      </c>
      <c r="C1963" s="4">
        <v>1.1724964</v>
      </c>
      <c r="D1963" s="4">
        <v>-29.22166</v>
      </c>
      <c r="E1963" s="4">
        <f>((-34.0823196/(10/9))+-10.5)+-0.4</f>
        <v>-41.574087639999995</v>
      </c>
      <c r="F1963" s="4">
        <f>((-0.91672653*(1.3/1.5))*0.6)-0.3</f>
        <v>-0.77669779560000007</v>
      </c>
    </row>
    <row r="1964" spans="1:6" x14ac:dyDescent="0.4">
      <c r="A1964" s="4">
        <v>1716.9028500000002</v>
      </c>
      <c r="B1964" s="4">
        <v>1.1309092999999999</v>
      </c>
      <c r="C1964" s="4">
        <v>1.172744</v>
      </c>
      <c r="D1964" s="4">
        <v>-29.222417</v>
      </c>
      <c r="E1964" s="4">
        <f>((-34.0880769/(10/9))+-10.5)+-0.4</f>
        <v>-41.57926921</v>
      </c>
      <c r="F1964" s="4">
        <f>((-0.9174161*(1.3/1.5))*0.6)-0.3</f>
        <v>-0.77705637199999988</v>
      </c>
    </row>
    <row r="1965" spans="1:6" x14ac:dyDescent="0.4">
      <c r="A1965" s="4">
        <v>1717.777775</v>
      </c>
      <c r="B1965" s="4">
        <v>1.1310117</v>
      </c>
      <c r="C1965" s="4">
        <v>1.1728867000000001</v>
      </c>
      <c r="D1965" s="4">
        <v>-29.223323000000001</v>
      </c>
      <c r="E1965" s="4">
        <f>((-34.0808535/(10/9))+-10.5)+-0.4</f>
        <v>-41.572768150000002</v>
      </c>
      <c r="F1965" s="4">
        <f>((-0.91810191*(1.3/1.5))*0.6)-0.3</f>
        <v>-0.77741299320000001</v>
      </c>
    </row>
    <row r="1966" spans="1:6" x14ac:dyDescent="0.4">
      <c r="A1966" s="4">
        <v>1718.6526999999999</v>
      </c>
      <c r="B1966" s="4">
        <v>1.131237</v>
      </c>
      <c r="C1966" s="4">
        <v>1.1732918999999999</v>
      </c>
      <c r="D1966" s="4">
        <v>-29.223942999999998</v>
      </c>
      <c r="E1966" s="4">
        <f>((-34.0526043/(10/9))+-10.5)+-0.4</f>
        <v>-41.547343869999999</v>
      </c>
      <c r="F1966" s="4">
        <f>((-0.91868299*(1.3/1.5))*0.6)-0.3</f>
        <v>-0.77771515479999997</v>
      </c>
    </row>
    <row r="1967" spans="1:6" x14ac:dyDescent="0.4">
      <c r="A1967" s="4">
        <v>1719.5276249999999</v>
      </c>
      <c r="B1967" s="4">
        <v>1.1313572999999999</v>
      </c>
      <c r="C1967" s="4">
        <v>1.1733792000000001</v>
      </c>
      <c r="D1967" s="4">
        <v>-29.22494</v>
      </c>
      <c r="E1967" s="4">
        <f>((-34.0471116/(10/9))+-10.5)+-0.4</f>
        <v>-41.542400440000002</v>
      </c>
      <c r="F1967" s="4">
        <f>((-0.9192239*(1.3/1.5))*0.6)-0.3</f>
        <v>-0.77799642800000002</v>
      </c>
    </row>
    <row r="1968" spans="1:6" x14ac:dyDescent="0.4">
      <c r="A1968" s="4">
        <v>1720.40255</v>
      </c>
      <c r="B1968" s="4">
        <v>1.1315128999999999</v>
      </c>
      <c r="C1968" s="4">
        <v>1.1732640999999999</v>
      </c>
      <c r="D1968" s="4">
        <v>-29.225808000000001</v>
      </c>
      <c r="E1968" s="4">
        <f>((-34.0892199/(10/9))+-10.5)+-0.4</f>
        <v>-41.580297909999999</v>
      </c>
      <c r="F1968" s="4">
        <f>((-0.91981745*(1.3/1.5))*0.6)-0.3</f>
        <v>-0.77830507399999993</v>
      </c>
    </row>
    <row r="1969" spans="1:6" x14ac:dyDescent="0.4">
      <c r="A1969" s="4">
        <v>1721.2774750000001</v>
      </c>
      <c r="B1969" s="4">
        <v>1.1317184</v>
      </c>
      <c r="C1969" s="4">
        <v>1.1735728000000001</v>
      </c>
      <c r="D1969" s="4">
        <v>-29.226828999999999</v>
      </c>
      <c r="E1969" s="4">
        <f>((-34.0656201/(10/9))+-10.5)+-0.4</f>
        <v>-41.559058089999994</v>
      </c>
      <c r="F1969" s="4">
        <f>((-0.92044812*(1.3/1.5))*0.6)-0.3</f>
        <v>-0.77863302239999999</v>
      </c>
    </row>
    <row r="1970" spans="1:6" x14ac:dyDescent="0.4">
      <c r="A1970" s="4">
        <v>1722.1523999999999</v>
      </c>
      <c r="B1970" s="4">
        <v>1.1319197000000001</v>
      </c>
      <c r="C1970" s="4">
        <v>1.1736009000000001</v>
      </c>
      <c r="D1970" s="4">
        <v>-29.227768999999999</v>
      </c>
      <c r="E1970" s="4">
        <f>((-34.06194/(10/9))+-10.5)+-0.4</f>
        <v>-41.555745999999992</v>
      </c>
      <c r="F1970" s="4">
        <f>((-0.9210248*(1.3/1.5))*0.6)-0.3</f>
        <v>-0.77893289599999993</v>
      </c>
    </row>
    <row r="1971" spans="1:6" x14ac:dyDescent="0.4">
      <c r="A1971" s="4">
        <v>1723.027325</v>
      </c>
      <c r="B1971" s="4">
        <v>1.1321156000000001</v>
      </c>
      <c r="C1971" s="4">
        <v>1.17408</v>
      </c>
      <c r="D1971" s="4">
        <v>-29.228728</v>
      </c>
      <c r="E1971" s="4">
        <f>((-34.0366509/(10/9))+-10.5)+-0.4</f>
        <v>-41.532985809999992</v>
      </c>
      <c r="F1971" s="4">
        <f>((-0.92156506*(1.3/1.5))*0.6)-0.3</f>
        <v>-0.77921383119999998</v>
      </c>
    </row>
    <row r="1972" spans="1:6" x14ac:dyDescent="0.4">
      <c r="A1972" s="4">
        <v>1723.9022500000001</v>
      </c>
      <c r="B1972" s="4">
        <v>1.1321844999999999</v>
      </c>
      <c r="C1972" s="4">
        <v>1.1743361999999999</v>
      </c>
      <c r="D1972" s="4">
        <v>-29.229686000000001</v>
      </c>
      <c r="E1972" s="4">
        <f>((-33.996276/(10/9))+-10.5)+-0.4</f>
        <v>-41.496648399999998</v>
      </c>
      <c r="F1972" s="4">
        <f>((-0.922149*(1.3/1.5))*0.6)-0.3</f>
        <v>-0.77951747999999998</v>
      </c>
    </row>
    <row r="1973" spans="1:6" x14ac:dyDescent="0.4">
      <c r="A1973" s="4">
        <v>1724.7771749999999</v>
      </c>
      <c r="B1973" s="4">
        <v>1.1323627999999999</v>
      </c>
      <c r="C1973" s="4">
        <v>1.1744766</v>
      </c>
      <c r="D1973" s="4">
        <v>-29.230475999999999</v>
      </c>
      <c r="E1973" s="4">
        <f>((-34.0762077/(10/9))+-10.5)+-0.4</f>
        <v>-41.568586929999995</v>
      </c>
      <c r="F1973" s="4">
        <f>((-0.92279422*(1.3/1.5))*0.6)-0.3</f>
        <v>-0.77985299439999989</v>
      </c>
    </row>
    <row r="1974" spans="1:6" x14ac:dyDescent="0.4">
      <c r="A1974" s="4">
        <v>1725.6521</v>
      </c>
      <c r="B1974" s="4">
        <v>1.1328571999999999</v>
      </c>
      <c r="C1974" s="4">
        <v>1.1745897999999999</v>
      </c>
      <c r="D1974" s="4">
        <v>-29.231618000000001</v>
      </c>
      <c r="E1974" s="4">
        <f>((-34.008687/(10/9))+-10.5)+-0.4</f>
        <v>-41.507818300000004</v>
      </c>
      <c r="F1974" s="4">
        <f>((-0.92343414*(1.3/1.5))*0.6)-0.3</f>
        <v>-0.78018575280000002</v>
      </c>
    </row>
    <row r="1975" spans="1:6" x14ac:dyDescent="0.4">
      <c r="A1975" s="4">
        <v>1726.5270249999999</v>
      </c>
      <c r="B1975" s="4">
        <v>1.1327898999999999</v>
      </c>
      <c r="C1975" s="4">
        <v>1.1746467</v>
      </c>
      <c r="D1975" s="4">
        <v>-29.232495</v>
      </c>
      <c r="E1975" s="4">
        <f>((-33.9948099/(10/9))+-10.5)+-0.4</f>
        <v>-41.495328909999998</v>
      </c>
      <c r="F1975" s="4">
        <f>((-0.92407787*(1.3/1.5))*0.6)-0.3</f>
        <v>-0.78052049239999999</v>
      </c>
    </row>
    <row r="1976" spans="1:6" x14ac:dyDescent="0.4">
      <c r="A1976" s="4">
        <v>1727.4019499999999</v>
      </c>
      <c r="B1976" s="4">
        <v>1.1330817</v>
      </c>
      <c r="C1976" s="4">
        <v>1.174909</v>
      </c>
      <c r="D1976" s="4">
        <v>-29.233494999999998</v>
      </c>
      <c r="E1976" s="4">
        <f>((-34.0273323/(10/9))+-10.5)+-0.4</f>
        <v>-41.524599069999994</v>
      </c>
      <c r="F1976" s="4">
        <f>((-0.92468452*(1.3/1.5))*0.6)-0.3</f>
        <v>-0.78083595039999998</v>
      </c>
    </row>
    <row r="1977" spans="1:6" x14ac:dyDescent="0.4">
      <c r="A1977" s="4">
        <v>1728.276875</v>
      </c>
      <c r="B1977" s="4">
        <v>1.1332095</v>
      </c>
      <c r="C1977" s="4">
        <v>1.1753404000000001</v>
      </c>
      <c r="D1977" s="4">
        <v>-29.234376000000001</v>
      </c>
      <c r="E1977" s="4">
        <f>((-34.0203114/(10/9))+-10.5)+-0.4</f>
        <v>-41.51828025999999</v>
      </c>
      <c r="F1977" s="4">
        <f>((-0.92519641*(1.3/1.5))*0.6)-0.3</f>
        <v>-0.78110213319999999</v>
      </c>
    </row>
    <row r="1978" spans="1:6" x14ac:dyDescent="0.4">
      <c r="A1978" s="4">
        <v>1729.1518000000001</v>
      </c>
      <c r="B1978" s="4">
        <v>1.1335709</v>
      </c>
      <c r="C1978" s="4">
        <v>1.1754993</v>
      </c>
      <c r="D1978" s="4">
        <v>-29.234898999999999</v>
      </c>
      <c r="E1978" s="4">
        <f>((-33.9751782/(10/9))+-10.5)+-0.4</f>
        <v>-41.477660379999996</v>
      </c>
      <c r="F1978" s="4">
        <f>((-0.92572403*(1.3/1.5))*0.6)-0.3</f>
        <v>-0.7813764956</v>
      </c>
    </row>
    <row r="1979" spans="1:6" x14ac:dyDescent="0.4">
      <c r="A1979" s="4">
        <v>1730.0267250000002</v>
      </c>
      <c r="B1979" s="4">
        <v>1.1337345999999999</v>
      </c>
      <c r="C1979" s="4">
        <v>1.1756641999999999</v>
      </c>
      <c r="D1979" s="4">
        <v>-29.235454000000001</v>
      </c>
      <c r="E1979" s="4">
        <f>((-33.9850179/(10/9))+-10.5)+-0.4</f>
        <v>-41.486516110000004</v>
      </c>
      <c r="F1979" s="4">
        <f>((-0.92628354*(1.3/1.5))*0.6)-0.3</f>
        <v>-0.78166744079999995</v>
      </c>
    </row>
    <row r="1980" spans="1:6" x14ac:dyDescent="0.4">
      <c r="A1980" s="4">
        <v>1730.90165</v>
      </c>
      <c r="B1980" s="4">
        <v>1.1339501999999999</v>
      </c>
      <c r="C1980" s="4">
        <v>1.1759672999999999</v>
      </c>
      <c r="D1980" s="4">
        <v>-29.236160999999999</v>
      </c>
      <c r="E1980" s="4">
        <f>((-33.9503148/(10/9))+-10.5)+-0.4</f>
        <v>-41.455283319999999</v>
      </c>
      <c r="F1980" s="4">
        <f>((-0.92686695*(1.3/1.5))*0.6)-0.3</f>
        <v>-0.7819708139999999</v>
      </c>
    </row>
    <row r="1981" spans="1:6" x14ac:dyDescent="0.4">
      <c r="A1981" s="4">
        <v>1731.7765749999999</v>
      </c>
      <c r="B1981" s="4">
        <v>1.1339661000000001</v>
      </c>
      <c r="C1981" s="4">
        <v>1.1760994</v>
      </c>
      <c r="D1981" s="4">
        <v>-29.236954999999998</v>
      </c>
      <c r="E1981" s="4">
        <f>((-33.9806547/(10/9))+-10.5)+-0.4</f>
        <v>-41.482589229999995</v>
      </c>
      <c r="F1981" s="4">
        <f>((-0.92738616*(1.3/1.5))*0.6)-0.3</f>
        <v>-0.7822408032</v>
      </c>
    </row>
    <row r="1982" spans="1:6" x14ac:dyDescent="0.4">
      <c r="A1982" s="4">
        <v>1732.6514999999999</v>
      </c>
      <c r="B1982" s="4">
        <v>1.1340418000000001</v>
      </c>
      <c r="C1982" s="4">
        <v>1.1760931999999999</v>
      </c>
      <c r="D1982" s="4">
        <v>-29.237728999999998</v>
      </c>
      <c r="E1982" s="4">
        <f>((-33.9610131/(10/9))+-10.5)+-0.4</f>
        <v>-41.464911789999995</v>
      </c>
      <c r="F1982" s="4">
        <f>((-0.92794126*(1.3/1.5))*0.6)-0.3</f>
        <v>-0.78252945519999995</v>
      </c>
    </row>
    <row r="1983" spans="1:6" x14ac:dyDescent="0.4">
      <c r="A1983" s="4">
        <v>1733.526425</v>
      </c>
      <c r="B1983" s="4">
        <v>1.1343367</v>
      </c>
      <c r="C1983" s="4">
        <v>1.1765639000000001</v>
      </c>
      <c r="D1983" s="4">
        <v>-29.238468999999998</v>
      </c>
      <c r="E1983" s="4">
        <f>((-33.9893685/(10/9))+-10.5)+-0.4</f>
        <v>-41.490431649999998</v>
      </c>
      <c r="F1983" s="4">
        <f>((-0.92848927*(1.3/1.5))*0.6)-0.3</f>
        <v>-0.78281442040000004</v>
      </c>
    </row>
    <row r="1984" spans="1:6" x14ac:dyDescent="0.4">
      <c r="A1984" s="4">
        <v>1734.4013500000001</v>
      </c>
      <c r="B1984" s="4">
        <v>1.1346255999999999</v>
      </c>
      <c r="C1984" s="4">
        <v>1.1768422000000001</v>
      </c>
      <c r="D1984" s="4">
        <v>-29.239363999999998</v>
      </c>
      <c r="E1984" s="4">
        <f>((-33.96825/(10/9))+-10.5)+-0.4</f>
        <v>-41.471424999999996</v>
      </c>
      <c r="F1984" s="4">
        <f>((-0.92909253*(1.3/1.5))*0.6)-0.3</f>
        <v>-0.78312811560000006</v>
      </c>
    </row>
    <row r="1985" spans="1:6" x14ac:dyDescent="0.4">
      <c r="A1985" s="4">
        <v>1735.2762749999999</v>
      </c>
      <c r="B1985" s="4">
        <v>1.1348357</v>
      </c>
      <c r="C1985" s="4">
        <v>1.1768221999999999</v>
      </c>
      <c r="D1985" s="4">
        <v>-29.240196999999998</v>
      </c>
      <c r="E1985" s="4">
        <f>((-33.9543045/(10/9))+-10.5)+-0.4</f>
        <v>-41.458874049999999</v>
      </c>
      <c r="F1985" s="4">
        <f>((-0.92965931*(1.3/1.5))*0.6)-0.3</f>
        <v>-0.78342284119999994</v>
      </c>
    </row>
    <row r="1986" spans="1:6" x14ac:dyDescent="0.4">
      <c r="A1986" s="4">
        <v>1736.1512</v>
      </c>
      <c r="B1986" s="4">
        <v>1.1350374999999999</v>
      </c>
      <c r="C1986" s="4">
        <v>1.1770954</v>
      </c>
      <c r="D1986" s="4">
        <v>-29.240807999999998</v>
      </c>
      <c r="E1986" s="4">
        <f>((-33.9053121/(10/9))+-10.5)+-0.4</f>
        <v>-41.414780889999996</v>
      </c>
      <c r="F1986" s="4">
        <f>((-0.93030429*(1.3/1.5))*0.6)-0.3</f>
        <v>-0.78375823079999996</v>
      </c>
    </row>
    <row r="1987" spans="1:6" x14ac:dyDescent="0.4">
      <c r="A1987" s="4">
        <v>1737.0261250000001</v>
      </c>
      <c r="B1987" s="4">
        <v>1.1350994999999999</v>
      </c>
      <c r="C1987" s="4">
        <v>1.1773019</v>
      </c>
      <c r="D1987" s="4">
        <v>-29.241865999999998</v>
      </c>
      <c r="E1987" s="4">
        <f>((-33.9215139/(10/9))+-10.5)+-0.4</f>
        <v>-41.429362509999997</v>
      </c>
      <c r="F1987" s="4">
        <f>((-0.93091238*(1.3/1.5))*0.6)-0.3</f>
        <v>-0.78407443759999995</v>
      </c>
    </row>
    <row r="1988" spans="1:6" x14ac:dyDescent="0.4">
      <c r="A1988" s="4">
        <v>1737.9010499999999</v>
      </c>
      <c r="B1988" s="4">
        <v>1.135275</v>
      </c>
      <c r="C1988" s="4">
        <v>1.1773636000000001</v>
      </c>
      <c r="D1988" s="4">
        <v>-29.24278</v>
      </c>
      <c r="E1988" s="4">
        <f>((-33.9027543/(10/9))+-10.5)+-0.4</f>
        <v>-41.412478869999994</v>
      </c>
      <c r="F1988" s="4">
        <f>((-0.93147486*(1.3/1.5))*0.6)-0.3</f>
        <v>-0.78436692720000001</v>
      </c>
    </row>
    <row r="1989" spans="1:6" x14ac:dyDescent="0.4">
      <c r="A1989" s="4">
        <v>1738.775975</v>
      </c>
      <c r="B1989" s="4">
        <v>1.1356683999999999</v>
      </c>
      <c r="C1989" s="4">
        <v>1.1778021999999999</v>
      </c>
      <c r="D1989" s="4">
        <v>-29.243960999999999</v>
      </c>
      <c r="E1989" s="4">
        <f>((-33.934869/(10/9))+-10.5)+-0.4</f>
        <v>-41.441382099999991</v>
      </c>
      <c r="F1989" s="4">
        <f>((-0.93204033*(1.3/1.5))*0.6)-0.3</f>
        <v>-0.78466097159999992</v>
      </c>
    </row>
    <row r="1990" spans="1:6" x14ac:dyDescent="0.4">
      <c r="A1990" s="4">
        <v>1739.6508999999999</v>
      </c>
      <c r="B1990" s="4">
        <v>1.1358972000000001</v>
      </c>
      <c r="C1990" s="4">
        <v>1.1782345000000001</v>
      </c>
      <c r="D1990" s="4">
        <v>-29.245145000000001</v>
      </c>
      <c r="E1990" s="4">
        <f>((-33.9227874/(10/9))+-10.5)+-0.4</f>
        <v>-41.430508659999994</v>
      </c>
      <c r="F1990" s="4">
        <f>((-0.93263471*(1.3/1.5))*0.6)-0.3</f>
        <v>-0.78497004920000002</v>
      </c>
    </row>
    <row r="1991" spans="1:6" x14ac:dyDescent="0.4">
      <c r="A1991" s="4">
        <v>1740.5258249999999</v>
      </c>
      <c r="B1991" s="4">
        <v>1.1360599</v>
      </c>
      <c r="C1991" s="4">
        <v>1.1783386</v>
      </c>
      <c r="D1991" s="4">
        <v>-29.246206000000001</v>
      </c>
      <c r="E1991" s="4">
        <f>((-33.9457554/(10/9))+-10.5)+-0.4</f>
        <v>-41.451179860000003</v>
      </c>
      <c r="F1991" s="4">
        <f>((-0.93323642*(1.3/1.5))*0.6)-0.3</f>
        <v>-0.78528293839999996</v>
      </c>
    </row>
    <row r="1992" spans="1:6" x14ac:dyDescent="0.4">
      <c r="A1992" s="4">
        <v>1741.40075</v>
      </c>
      <c r="B1992" s="4">
        <v>1.1360178999999999</v>
      </c>
      <c r="C1992" s="4">
        <v>1.1781721999999999</v>
      </c>
      <c r="D1992" s="4">
        <v>-29.247274000000001</v>
      </c>
      <c r="E1992" s="4">
        <f>((-33.9350544/(10/9))+-10.5)+-0.4</f>
        <v>-41.441548959999999</v>
      </c>
      <c r="F1992" s="4">
        <f>((-0.93381101*(1.3/1.5))*0.6)-0.3</f>
        <v>-0.78558172519999991</v>
      </c>
    </row>
    <row r="1993" spans="1:6" x14ac:dyDescent="0.4">
      <c r="A1993" s="4">
        <v>1742.2756750000001</v>
      </c>
      <c r="B1993" s="4">
        <v>1.1361399999999999</v>
      </c>
      <c r="C1993" s="4">
        <v>1.1784401</v>
      </c>
      <c r="D1993" s="4">
        <v>-29.248113</v>
      </c>
      <c r="E1993" s="4">
        <f>((-33.9182451/(10/9))+-10.5)+-0.4</f>
        <v>-41.426420589999999</v>
      </c>
      <c r="F1993" s="4">
        <f>((-0.93438852*(1.3/1.5))*0.6)-0.3</f>
        <v>-0.78588203039999993</v>
      </c>
    </row>
    <row r="1994" spans="1:6" x14ac:dyDescent="0.4">
      <c r="A1994" s="4">
        <v>1743.1506000000002</v>
      </c>
      <c r="B1994" s="4">
        <v>1.1365092999999999</v>
      </c>
      <c r="C1994" s="4">
        <v>1.1785588</v>
      </c>
      <c r="D1994" s="4">
        <v>-29.248857000000001</v>
      </c>
      <c r="E1994" s="4">
        <f>((-33.8995098/(10/9))+-10.5)+-0.4</f>
        <v>-41.409558819999994</v>
      </c>
      <c r="F1994" s="4">
        <f>((-0.93490112*(1.3/1.5))*0.6)-0.3</f>
        <v>-0.78614858240000007</v>
      </c>
    </row>
    <row r="1995" spans="1:6" x14ac:dyDescent="0.4">
      <c r="A1995" s="4">
        <v>1744.025525</v>
      </c>
      <c r="B1995" s="4">
        <v>1.1366773999999999</v>
      </c>
      <c r="C1995" s="4">
        <v>1.1788908</v>
      </c>
      <c r="D1995" s="4">
        <v>-29.250211</v>
      </c>
      <c r="E1995" s="4">
        <f>((-33.9033312/(10/9))+-10.5)+-0.4</f>
        <v>-41.412998079999994</v>
      </c>
      <c r="F1995" s="4">
        <f>((-0.93537503*(1.3/1.5))*0.6)-0.3</f>
        <v>-0.78639501560000002</v>
      </c>
    </row>
    <row r="1996" spans="1:6" x14ac:dyDescent="0.4">
      <c r="A1996" s="4">
        <v>1744.9004499999999</v>
      </c>
      <c r="B1996" s="4">
        <v>1.1367784000000001</v>
      </c>
      <c r="C1996" s="4">
        <v>1.1791086</v>
      </c>
      <c r="D1996" s="4">
        <v>-29.251211999999999</v>
      </c>
      <c r="E1996" s="4">
        <f>((-33.8855751/(10/9))+-10.5)+-0.4</f>
        <v>-41.397017589999997</v>
      </c>
      <c r="F1996" s="4">
        <f>((-0.93585914*(1.3/1.5))*0.6)-0.3</f>
        <v>-0.78664675279999996</v>
      </c>
    </row>
    <row r="1997" spans="1:6" x14ac:dyDescent="0.4">
      <c r="A1997" s="4">
        <v>1745.7753749999999</v>
      </c>
      <c r="B1997" s="4">
        <v>1.1369399</v>
      </c>
      <c r="C1997" s="4">
        <v>1.1791927</v>
      </c>
      <c r="D1997" s="4">
        <v>-29.252057000000001</v>
      </c>
      <c r="E1997" s="4">
        <f>((-33.877071/(10/9))+-10.5)+-0.4</f>
        <v>-41.389363899999999</v>
      </c>
      <c r="F1997" s="4">
        <f>((-0.93633878*(1.3/1.5))*0.6)-0.3</f>
        <v>-0.78689616559999997</v>
      </c>
    </row>
    <row r="1998" spans="1:6" x14ac:dyDescent="0.4">
      <c r="A1998" s="4">
        <v>1746.6503</v>
      </c>
      <c r="B1998" s="4">
        <v>1.1373937000000001</v>
      </c>
      <c r="C1998" s="4">
        <v>1.1794230999999999</v>
      </c>
      <c r="D1998" s="4">
        <v>-29.252642999999999</v>
      </c>
      <c r="E1998" s="4">
        <f>((-33.8548266/(10/9))+-10.5)+-0.4</f>
        <v>-41.36934394</v>
      </c>
      <c r="F1998" s="4">
        <f>((-0.9368338*(1.3/1.5))*0.6)-0.3</f>
        <v>-0.78715357599999991</v>
      </c>
    </row>
    <row r="1999" spans="1:6" x14ac:dyDescent="0.4">
      <c r="A1999" s="4">
        <v>1747.5252250000001</v>
      </c>
      <c r="B1999" s="4">
        <v>1.1374739</v>
      </c>
      <c r="C1999" s="4">
        <v>1.1796359999999999</v>
      </c>
      <c r="D1999" s="4">
        <v>-29.253916999999998</v>
      </c>
      <c r="E1999" s="4">
        <f>((-33.8847678/(10/9))+-10.5)+-0.4</f>
        <v>-41.39629102</v>
      </c>
      <c r="F1999" s="4">
        <f>((-0.93733925*(1.3/1.5))*0.6)-0.3</f>
        <v>-0.78741640999999996</v>
      </c>
    </row>
    <row r="2000" spans="1:6" x14ac:dyDescent="0.4">
      <c r="A2000" s="4">
        <v>1748.4001499999999</v>
      </c>
      <c r="B2000" s="4">
        <v>1.1375462000000001</v>
      </c>
      <c r="C2000" s="4">
        <v>1.1799413000000001</v>
      </c>
      <c r="D2000" s="4">
        <v>-29.254918</v>
      </c>
      <c r="E2000" s="4">
        <f>((-33.9085674/(10/9))+-10.5)+-0.4</f>
        <v>-41.417710660000004</v>
      </c>
      <c r="F2000" s="4">
        <f>((-0.93787003*(1.3/1.5))*0.6)-0.3</f>
        <v>-0.78769241560000003</v>
      </c>
    </row>
    <row r="2001" spans="1:6" x14ac:dyDescent="0.4">
      <c r="A2001" s="4">
        <v>1749.275075</v>
      </c>
      <c r="B2001" s="4">
        <v>1.1378789</v>
      </c>
      <c r="C2001" s="4">
        <v>1.1797576000000001</v>
      </c>
      <c r="D2001" s="4">
        <v>-29.255642999999999</v>
      </c>
      <c r="E2001" s="4">
        <f>((-33.8777226/(10/9))+-10.5)+-0.4</f>
        <v>-41.389950339999992</v>
      </c>
      <c r="F2001" s="4">
        <f>((-0.93840396*(1.3/1.5))*0.6)-0.3</f>
        <v>-0.78797005920000007</v>
      </c>
    </row>
    <row r="2002" spans="1:6" x14ac:dyDescent="0.4">
      <c r="A2002" s="4">
        <v>1750.15</v>
      </c>
      <c r="B2002" s="4">
        <v>1.1379558000000001</v>
      </c>
      <c r="C2002" s="4">
        <v>1.1803055</v>
      </c>
      <c r="D2002" s="4">
        <v>-29.256944000000001</v>
      </c>
      <c r="E2002" s="4">
        <f>((-33.8477472/(10/9))+-10.5)+-0.4</f>
        <v>-41.362972479999996</v>
      </c>
      <c r="F2002" s="4">
        <f>((-0.93896568*(1.3/1.5))*0.6)-0.3</f>
        <v>-0.78826215360000007</v>
      </c>
    </row>
    <row r="2003" spans="1:6" x14ac:dyDescent="0.4">
      <c r="A2003" s="4">
        <v>1751.0249249999999</v>
      </c>
      <c r="B2003" s="4">
        <v>1.1380172</v>
      </c>
      <c r="C2003" s="4">
        <v>1.1802292999999999</v>
      </c>
      <c r="D2003" s="4">
        <v>-29.257816999999999</v>
      </c>
      <c r="E2003" s="4">
        <f>((-33.8558913/(10/9))+-10.5)+-0.4</f>
        <v>-41.370302169999995</v>
      </c>
      <c r="F2003" s="4">
        <f>((-0.9394474*(1.3/1.5))*0.6)-0.3</f>
        <v>-0.78851264799999998</v>
      </c>
    </row>
    <row r="2004" spans="1:6" x14ac:dyDescent="0.4">
      <c r="A2004" s="4">
        <v>1751.89985</v>
      </c>
      <c r="B2004" s="4">
        <v>1.1382855999999999</v>
      </c>
      <c r="C2004" s="4">
        <v>1.1803490999999999</v>
      </c>
      <c r="D2004" s="4">
        <v>-29.259132000000001</v>
      </c>
      <c r="E2004" s="4">
        <f>((-33.8294655/(10/9))+-10.5)+-0.4</f>
        <v>-41.346518949999997</v>
      </c>
      <c r="F2004" s="4">
        <f>((-0.93999267*(1.3/1.5))*0.6)-0.3</f>
        <v>-0.78879618839999999</v>
      </c>
    </row>
    <row r="2005" spans="1:6" x14ac:dyDescent="0.4">
      <c r="A2005" s="4">
        <v>1752.7747749999999</v>
      </c>
      <c r="B2005" s="4">
        <v>1.1383350000000001</v>
      </c>
      <c r="C2005" s="4">
        <v>1.1806371</v>
      </c>
      <c r="D2005" s="4">
        <v>-29.260073999999999</v>
      </c>
      <c r="E2005" s="4">
        <f>((-33.8272956/(10/9))+-10.5)+-0.4</f>
        <v>-41.344566039999997</v>
      </c>
      <c r="F2005" s="4">
        <f>((-0.94048363*(1.3/1.5))*0.6)-0.3</f>
        <v>-0.78905148759999999</v>
      </c>
    </row>
    <row r="2006" spans="1:6" x14ac:dyDescent="0.4">
      <c r="A2006" s="4">
        <v>1753.6496999999999</v>
      </c>
      <c r="B2006" s="4">
        <v>1.1385818000000001</v>
      </c>
      <c r="C2006" s="4">
        <v>1.1808578999999999</v>
      </c>
      <c r="D2006" s="4">
        <v>-29.261423999999998</v>
      </c>
      <c r="E2006" s="4">
        <f>((-33.8641236/(10/9))+-10.5)+-0.4</f>
        <v>-41.377711239999996</v>
      </c>
      <c r="F2006" s="4">
        <f>((-0.94093782*(1.3/1.5))*0.6)-0.3</f>
        <v>-0.78928766639999992</v>
      </c>
    </row>
    <row r="2007" spans="1:6" x14ac:dyDescent="0.4">
      <c r="A2007" s="4">
        <v>1754.524625</v>
      </c>
      <c r="B2007" s="4">
        <v>1.1388897</v>
      </c>
      <c r="C2007" s="4">
        <v>1.180903</v>
      </c>
      <c r="D2007" s="4">
        <v>-29.262618</v>
      </c>
      <c r="E2007" s="4">
        <f>((-33.8368779/(10/9))+-10.5)+-0.4</f>
        <v>-41.353190109999993</v>
      </c>
      <c r="F2007" s="4">
        <f>((-0.94146192*(1.3/1.5))*0.6)-0.3</f>
        <v>-0.78956019840000002</v>
      </c>
    </row>
    <row r="2008" spans="1:6" x14ac:dyDescent="0.4">
      <c r="A2008" s="4">
        <v>1755.3995500000001</v>
      </c>
      <c r="B2008" s="4">
        <v>1.1392405000000001</v>
      </c>
      <c r="C2008" s="4">
        <v>1.1812864999999999</v>
      </c>
      <c r="D2008" s="4">
        <v>-29.264092999999999</v>
      </c>
      <c r="E2008" s="4">
        <f>((-33.8303133/(10/9))+-10.5)+-0.4</f>
        <v>-41.347281969999997</v>
      </c>
      <c r="F2008" s="4">
        <f>((-0.9419753*(1.3/1.5))*0.6)-0.3</f>
        <v>-0.78982715599999986</v>
      </c>
    </row>
    <row r="2009" spans="1:6" x14ac:dyDescent="0.4">
      <c r="A2009" s="4">
        <v>1756.2744750000002</v>
      </c>
      <c r="B2009" s="4">
        <v>1.1392629000000001</v>
      </c>
      <c r="C2009" s="4">
        <v>1.1814444</v>
      </c>
      <c r="D2009" s="4">
        <v>-29.265124999999998</v>
      </c>
      <c r="E2009" s="4">
        <f>((-33.8283189/(10/9))+-10.5)+-0.4</f>
        <v>-41.345487009999992</v>
      </c>
      <c r="F2009" s="4">
        <f>((-0.94239831*(1.3/1.5))*0.6)-0.3</f>
        <v>-0.79004712119999998</v>
      </c>
    </row>
    <row r="2010" spans="1:6" x14ac:dyDescent="0.4">
      <c r="A2010" s="4">
        <v>1757.1494</v>
      </c>
      <c r="B2010" s="4">
        <v>1.1393011</v>
      </c>
      <c r="C2010" s="4">
        <v>1.1815338</v>
      </c>
      <c r="D2010" s="4">
        <v>-29.266590999999998</v>
      </c>
      <c r="E2010" s="4">
        <f>((-33.8718834/(10/9))+-10.5)+-0.4</f>
        <v>-41.384695059999999</v>
      </c>
      <c r="F2010" s="4">
        <f>((-0.94280624*(1.3/1.5))*0.6)-0.3</f>
        <v>-0.79025924479999998</v>
      </c>
    </row>
    <row r="2011" spans="1:6" x14ac:dyDescent="0.4">
      <c r="A2011" s="4">
        <v>1758.0243249999999</v>
      </c>
      <c r="B2011" s="4">
        <v>1.139294</v>
      </c>
      <c r="C2011" s="4">
        <v>1.1816964000000001</v>
      </c>
      <c r="D2011" s="4">
        <v>-29.267841999999998</v>
      </c>
      <c r="E2011" s="4">
        <f>((-33.8501988/(10/9))+-10.5)+-0.4</f>
        <v>-41.365178919999998</v>
      </c>
      <c r="F2011" s="4">
        <f>((-0.94329333*(1.3/1.5))*0.6)-0.3</f>
        <v>-0.79051253160000001</v>
      </c>
    </row>
    <row r="2012" spans="1:6" x14ac:dyDescent="0.4">
      <c r="A2012" s="4">
        <v>1758.8992499999999</v>
      </c>
      <c r="B2012" s="4">
        <v>1.1395081</v>
      </c>
      <c r="C2012" s="4">
        <v>1.1817112000000001</v>
      </c>
      <c r="D2012" s="4">
        <v>-29.269200999999999</v>
      </c>
      <c r="E2012" s="4">
        <f>((-33.7931865/(10/9))+-10.5)+-0.4</f>
        <v>-41.313867849999994</v>
      </c>
      <c r="F2012" s="4">
        <f>((-0.94377226*(1.3/1.5))*0.6)-0.3</f>
        <v>-0.7907615751999999</v>
      </c>
    </row>
    <row r="2013" spans="1:6" x14ac:dyDescent="0.4">
      <c r="A2013" s="4">
        <v>1759.774175</v>
      </c>
      <c r="B2013" s="4">
        <v>1.1397166000000001</v>
      </c>
      <c r="C2013" s="4">
        <v>1.1820605</v>
      </c>
      <c r="D2013" s="4">
        <v>-29.270405999999998</v>
      </c>
      <c r="E2013" s="4">
        <f>((-33.8261391/(10/9))+-10.5)+-0.4</f>
        <v>-41.343525190000001</v>
      </c>
      <c r="F2013" s="4">
        <f>((-0.94416755*(1.3/1.5))*0.6)-0.3</f>
        <v>-0.79096712599999996</v>
      </c>
    </row>
    <row r="2014" spans="1:6" x14ac:dyDescent="0.4">
      <c r="A2014" s="4">
        <v>1760.6491000000001</v>
      </c>
      <c r="B2014" s="4">
        <v>1.1400036</v>
      </c>
      <c r="C2014" s="4">
        <v>1.1822140000000001</v>
      </c>
      <c r="D2014" s="4">
        <v>-29.271584999999998</v>
      </c>
      <c r="E2014" s="4">
        <f>((-33.8054634/(10/9))+-10.5)+-0.4</f>
        <v>-41.324917059999997</v>
      </c>
      <c r="F2014" s="4">
        <f>((-0.94449908*(1.3/1.5))*0.6)-0.3</f>
        <v>-0.79113952160000001</v>
      </c>
    </row>
    <row r="2015" spans="1:6" x14ac:dyDescent="0.4">
      <c r="A2015" s="4">
        <v>1761.5240249999999</v>
      </c>
      <c r="B2015" s="4">
        <v>1.140028</v>
      </c>
      <c r="C2015" s="4">
        <v>1.1824151000000001</v>
      </c>
      <c r="D2015" s="4">
        <v>-29.272762</v>
      </c>
      <c r="E2015" s="4">
        <f>((-33.8564709/(10/9))+-10.5)+-0.4</f>
        <v>-41.370823809999997</v>
      </c>
      <c r="F2015" s="4">
        <f>((-0.9448455*(1.3/1.5))*0.6)-0.3</f>
        <v>-0.79131965999999998</v>
      </c>
    </row>
    <row r="2016" spans="1:6" x14ac:dyDescent="0.4">
      <c r="A2016" s="4">
        <v>1762.39895</v>
      </c>
      <c r="B2016" s="4">
        <v>1.140455</v>
      </c>
      <c r="C2016" s="4">
        <v>1.1825163000000001</v>
      </c>
      <c r="D2016" s="4">
        <v>-29.273948000000001</v>
      </c>
      <c r="E2016" s="4">
        <f>((-33.8246901/(10/9))+-10.5)+-0.4</f>
        <v>-41.342221089999995</v>
      </c>
      <c r="F2016" s="4">
        <f>((-0.94522953*(1.3/1.5))*0.6)-0.3</f>
        <v>-0.79151935559999997</v>
      </c>
    </row>
    <row r="2017" spans="1:6" x14ac:dyDescent="0.4">
      <c r="A2017" s="4">
        <v>1763.2738750000001</v>
      </c>
      <c r="B2017" s="4">
        <v>1.1403605999999999</v>
      </c>
      <c r="C2017" s="4">
        <v>1.1826757000000001</v>
      </c>
      <c r="D2017" s="4">
        <v>-29.274998999999998</v>
      </c>
      <c r="E2017" s="4">
        <f>((-33.8267502/(10/9))+-10.5)+-0.4</f>
        <v>-41.344075179999997</v>
      </c>
      <c r="F2017" s="4">
        <f>((-0.94561088*(1.3/1.5))*0.6)-0.3</f>
        <v>-0.79171765760000001</v>
      </c>
    </row>
    <row r="2018" spans="1:6" x14ac:dyDescent="0.4">
      <c r="A2018" s="4">
        <v>1764.1487999999999</v>
      </c>
      <c r="B2018" s="4">
        <v>1.1404110999999999</v>
      </c>
      <c r="C2018" s="4">
        <v>1.1825508</v>
      </c>
      <c r="D2018" s="4">
        <v>-29.276257999999999</v>
      </c>
      <c r="E2018" s="4">
        <f>((-33.7702968/(10/9))+-10.5)+-0.4</f>
        <v>-41.293267119999996</v>
      </c>
      <c r="F2018" s="4">
        <f>((-0.94592506*(1.3/1.5))*0.6)-0.3</f>
        <v>-0.79188103119999997</v>
      </c>
    </row>
    <row r="2019" spans="1:6" x14ac:dyDescent="0.4">
      <c r="A2019" s="4">
        <v>1765.023725</v>
      </c>
      <c r="B2019" s="4">
        <v>1.1404259999999999</v>
      </c>
      <c r="C2019" s="4">
        <v>1.1829692000000001</v>
      </c>
      <c r="D2019" s="4">
        <v>-29.277608000000001</v>
      </c>
      <c r="E2019" s="4">
        <f>((-33.7812318/(10/9))+-10.5)+-0.4</f>
        <v>-41.303108619999996</v>
      </c>
      <c r="F2019" s="4">
        <f>((-0.94624227*(1.3/1.5))*0.6)-0.3</f>
        <v>-0.79204598039999996</v>
      </c>
    </row>
    <row r="2020" spans="1:6" x14ac:dyDescent="0.4">
      <c r="A2020" s="4">
        <v>1765.8986499999999</v>
      </c>
      <c r="B2020" s="4">
        <v>1.1409648999999999</v>
      </c>
      <c r="C2020" s="4">
        <v>1.1830533000000001</v>
      </c>
      <c r="D2020" s="4">
        <v>-29.278891999999999</v>
      </c>
      <c r="E2020" s="4">
        <f>((-33.7752792/(10/9))+-10.5)+-0.4</f>
        <v>-41.297751279999993</v>
      </c>
      <c r="F2020" s="4">
        <f>((-0.94651473*(1.3/1.5))*0.6)-0.3</f>
        <v>-0.79218765959999993</v>
      </c>
    </row>
    <row r="2021" spans="1:6" x14ac:dyDescent="0.4">
      <c r="A2021" s="4">
        <v>1766.7735749999999</v>
      </c>
      <c r="B2021" s="4">
        <v>1.1408764</v>
      </c>
      <c r="C2021" s="4">
        <v>1.1835023</v>
      </c>
      <c r="D2021" s="4">
        <v>-29.280211999999999</v>
      </c>
      <c r="E2021" s="4">
        <f>((-33.7842639/(10/9))+-10.5)+-0.4</f>
        <v>-41.305837509999996</v>
      </c>
      <c r="F2021" s="4">
        <f>((-0.9467628*(1.3/1.5))*0.6)-0.3</f>
        <v>-0.79231665600000001</v>
      </c>
    </row>
    <row r="2022" spans="1:6" x14ac:dyDescent="0.4">
      <c r="A2022" s="4">
        <v>1767.6485</v>
      </c>
      <c r="B2022" s="4">
        <v>1.1412346</v>
      </c>
      <c r="C2022" s="4">
        <v>1.1833544</v>
      </c>
      <c r="D2022" s="4">
        <v>-29.281835000000001</v>
      </c>
      <c r="E2022" s="4">
        <f>((-33.7648518/(10/9))+-10.5)+-0.4</f>
        <v>-41.288366619999998</v>
      </c>
      <c r="F2022" s="4">
        <f>((-0.94706267*(1.3/1.5))*0.6)-0.3</f>
        <v>-0.7924725883999999</v>
      </c>
    </row>
    <row r="2023" spans="1:6" x14ac:dyDescent="0.4">
      <c r="A2023" s="4">
        <v>1768.5234250000001</v>
      </c>
      <c r="B2023" s="4">
        <v>1.1414458000000001</v>
      </c>
      <c r="C2023" s="4">
        <v>1.1838769</v>
      </c>
      <c r="D2023" s="4">
        <v>-29.283469</v>
      </c>
      <c r="E2023" s="4">
        <f>((-33.7951467/(10/9))+-10.5)+-0.4</f>
        <v>-41.315632029999996</v>
      </c>
      <c r="F2023" s="4">
        <f>((-0.94741029*(1.3/1.5))*0.6)-0.3</f>
        <v>-0.79265335079999999</v>
      </c>
    </row>
    <row r="2024" spans="1:6" x14ac:dyDescent="0.4">
      <c r="A2024" s="4">
        <v>1769.3983500000002</v>
      </c>
      <c r="B2024" s="4">
        <v>1.1415584999999999</v>
      </c>
      <c r="C2024" s="4">
        <v>1.1840119</v>
      </c>
      <c r="D2024" s="4">
        <v>-29.284886999999998</v>
      </c>
      <c r="E2024" s="4">
        <f>((-33.751377/(10/9))+-10.5)+-0.4</f>
        <v>-41.276239299999993</v>
      </c>
      <c r="F2024" s="4">
        <f>((-0.9477036*(1.3/1.5))*0.6)-0.3</f>
        <v>-0.79280587199999997</v>
      </c>
    </row>
    <row r="2025" spans="1:6" x14ac:dyDescent="0.4">
      <c r="A2025" s="4">
        <v>1770.273275</v>
      </c>
      <c r="B2025" s="4">
        <v>1.1416873000000001</v>
      </c>
      <c r="C2025" s="4">
        <v>1.1841881000000001</v>
      </c>
      <c r="D2025" s="4">
        <v>-29.286179999999998</v>
      </c>
      <c r="E2025" s="4">
        <f>((-33.7894137/(10/9))+-10.5)+-0.4</f>
        <v>-41.310472329999996</v>
      </c>
      <c r="F2025" s="4">
        <f>((-0.94797277*(1.3/1.5))*0.6)-0.3</f>
        <v>-0.79294584040000005</v>
      </c>
    </row>
    <row r="2026" spans="1:6" x14ac:dyDescent="0.4">
      <c r="A2026" s="4">
        <v>1771.1481999999999</v>
      </c>
      <c r="B2026" s="4">
        <v>1.1418771000000001</v>
      </c>
      <c r="C2026" s="4">
        <v>1.1841347</v>
      </c>
      <c r="D2026" s="4">
        <v>-29.288066000000001</v>
      </c>
      <c r="E2026" s="4">
        <f>((-33.77304/(10/9))+-10.5)+-0.4</f>
        <v>-41.295735999999998</v>
      </c>
      <c r="F2026" s="4">
        <f>((-0.94824189*(1.3/1.5))*0.6)-0.3</f>
        <v>-0.79308578279999997</v>
      </c>
    </row>
    <row r="2027" spans="1:6" x14ac:dyDescent="0.4">
      <c r="A2027" s="4">
        <v>1772.0231249999999</v>
      </c>
      <c r="B2027" s="4">
        <v>1.1421697</v>
      </c>
      <c r="C2027" s="4">
        <v>1.1845326</v>
      </c>
      <c r="D2027" s="4">
        <v>-29.289303999999998</v>
      </c>
      <c r="E2027" s="4">
        <f>((-33.7402602/(10/9))+-10.5)+-0.4</f>
        <v>-41.266234179999998</v>
      </c>
      <c r="F2027" s="4">
        <f>((-0.9484967*(1.3/1.5))*0.6)-0.3</f>
        <v>-0.79321828399999994</v>
      </c>
    </row>
    <row r="2028" spans="1:6" x14ac:dyDescent="0.4">
      <c r="A2028" s="4">
        <v>1772.89805</v>
      </c>
      <c r="B2028" s="4">
        <v>1.1422091000000001</v>
      </c>
      <c r="C2028" s="4">
        <v>1.1848866</v>
      </c>
      <c r="D2028" s="4">
        <v>-29.290748000000001</v>
      </c>
      <c r="E2028" s="4">
        <f>((-33.7626855/(10/9))+-10.5)+-0.4</f>
        <v>-41.286416949999996</v>
      </c>
      <c r="F2028" s="4">
        <f>((-0.94881433*(1.3/1.5))*0.6)-0.3</f>
        <v>-0.79338345160000001</v>
      </c>
    </row>
    <row r="2029" spans="1:6" x14ac:dyDescent="0.4">
      <c r="A2029" s="4">
        <v>1773.7729750000001</v>
      </c>
      <c r="B2029" s="4">
        <v>1.1424083</v>
      </c>
      <c r="C2029" s="4">
        <v>1.1847234</v>
      </c>
      <c r="D2029" s="4">
        <v>-29.292183999999999</v>
      </c>
      <c r="E2029" s="4">
        <f>((-33.7321476/(10/9))+-10.5)+-0.4</f>
        <v>-41.258932839999993</v>
      </c>
      <c r="F2029" s="4">
        <f>((-0.94906914*(1.3/1.5))*0.6)-0.3</f>
        <v>-0.79351595279999998</v>
      </c>
    </row>
    <row r="2030" spans="1:6" x14ac:dyDescent="0.4">
      <c r="A2030" s="4">
        <v>1774.6478999999999</v>
      </c>
      <c r="B2030" s="4">
        <v>1.1424266999999999</v>
      </c>
      <c r="C2030" s="4">
        <v>1.1848855</v>
      </c>
      <c r="D2030" s="4">
        <v>-29.293692999999998</v>
      </c>
      <c r="E2030" s="4">
        <f>((-33.7734486/(10/9))+-10.5)+-0.4</f>
        <v>-41.29610374</v>
      </c>
      <c r="F2030" s="4">
        <f>((-0.94929045*(1.3/1.5))*0.6)-0.3</f>
        <v>-0.7936310339999999</v>
      </c>
    </row>
    <row r="2031" spans="1:6" x14ac:dyDescent="0.4">
      <c r="A2031" s="4">
        <v>1775.522825</v>
      </c>
      <c r="B2031" s="4">
        <v>1.1424076999999999</v>
      </c>
      <c r="C2031" s="4">
        <v>1.1850852999999999</v>
      </c>
      <c r="D2031" s="4">
        <v>-29.295102</v>
      </c>
      <c r="E2031" s="4">
        <f>((-33.779457/(10/9))+-10.5)+-0.4</f>
        <v>-41.301511299999994</v>
      </c>
      <c r="F2031" s="4">
        <f>((-0.94948673*(1.3/1.5))*0.6)-0.3</f>
        <v>-0.79373309959999994</v>
      </c>
    </row>
    <row r="2032" spans="1:6" x14ac:dyDescent="0.4">
      <c r="A2032" s="4">
        <v>1776.3977500000001</v>
      </c>
      <c r="B2032" s="4">
        <v>1.1427219</v>
      </c>
      <c r="C2032" s="4">
        <v>1.1852776</v>
      </c>
      <c r="D2032" s="4">
        <v>-29.296475999999998</v>
      </c>
      <c r="E2032" s="4">
        <f>((-33.7545972/(10/9))+-10.5)+-0.4</f>
        <v>-41.279137479999996</v>
      </c>
      <c r="F2032" s="4">
        <f>((-0.94970912*(1.3/1.5))*0.6)-0.3</f>
        <v>-0.79384874240000003</v>
      </c>
    </row>
    <row r="2033" spans="1:6" x14ac:dyDescent="0.4">
      <c r="A2033" s="4">
        <v>1777.2726749999999</v>
      </c>
      <c r="B2033" s="4">
        <v>1.1429583000000001</v>
      </c>
      <c r="C2033" s="4">
        <v>1.1851940999999999</v>
      </c>
      <c r="D2033" s="4">
        <v>-29.297847000000001</v>
      </c>
      <c r="E2033" s="4">
        <f>((-33.6997206/(10/9))+-10.5)+-0.4</f>
        <v>-41.229748539999996</v>
      </c>
      <c r="F2033" s="4">
        <f>((-0.94990909*(1.3/1.5))*0.6)-0.3</f>
        <v>-0.79395272679999995</v>
      </c>
    </row>
    <row r="2034" spans="1:6" x14ac:dyDescent="0.4">
      <c r="A2034" s="4">
        <v>1778.1476</v>
      </c>
      <c r="B2034" s="4">
        <v>1.1431038</v>
      </c>
      <c r="C2034" s="4">
        <v>1.1856328</v>
      </c>
      <c r="D2034" s="4">
        <v>-29.299564</v>
      </c>
      <c r="E2034" s="4">
        <f>((-33.7782042/(10/9))+-10.5)+-0.4</f>
        <v>-41.300383779999997</v>
      </c>
      <c r="F2034" s="4">
        <f>((-0.95013726*(1.3/1.5))*0.6)-0.3</f>
        <v>-0.79407137519999993</v>
      </c>
    </row>
    <row r="2035" spans="1:6" x14ac:dyDescent="0.4">
      <c r="A2035" s="4">
        <v>1779.0225249999999</v>
      </c>
      <c r="B2035" s="4">
        <v>1.1430640999999999</v>
      </c>
      <c r="C2035" s="4">
        <v>1.1856736000000001</v>
      </c>
      <c r="D2035" s="4">
        <v>-29.300829999999998</v>
      </c>
      <c r="E2035" s="4">
        <f>((-33.7264515/(10/9))+-10.5)+-0.4</f>
        <v>-41.253806349999998</v>
      </c>
      <c r="F2035" s="4">
        <f>((-0.95037836*(1.3/1.5))*0.6)-0.3</f>
        <v>-0.7941967472</v>
      </c>
    </row>
    <row r="2036" spans="1:6" x14ac:dyDescent="0.4">
      <c r="A2036" s="4">
        <v>1779.8974499999999</v>
      </c>
      <c r="B2036" s="4">
        <v>1.1430916</v>
      </c>
      <c r="C2036" s="4">
        <v>1.1857305</v>
      </c>
      <c r="D2036" s="4">
        <v>-29.302448999999999</v>
      </c>
      <c r="E2036" s="4">
        <f>((-33.6931389/(10/9))+-10.5)+-0.4</f>
        <v>-41.223825009999999</v>
      </c>
      <c r="F2036" s="4">
        <f>((-0.95056832*(1.3/1.5))*0.6)-0.3</f>
        <v>-0.79429552640000001</v>
      </c>
    </row>
    <row r="2037" spans="1:6" x14ac:dyDescent="0.4">
      <c r="A2037" s="4">
        <v>1780.772375</v>
      </c>
      <c r="B2037" s="4">
        <v>1.1435161</v>
      </c>
      <c r="C2037" s="4">
        <v>1.1859014999999999</v>
      </c>
      <c r="D2037" s="4">
        <v>-29.304199999999998</v>
      </c>
      <c r="E2037" s="4">
        <f>((-33.692157/(10/9))+-10.5)+-0.4</f>
        <v>-41.222941299999995</v>
      </c>
      <c r="F2037" s="4">
        <f>((-0.9507975*(1.3/1.5))*0.6)-0.3</f>
        <v>-0.79441469999999992</v>
      </c>
    </row>
    <row r="2038" spans="1:6" x14ac:dyDescent="0.4">
      <c r="A2038" s="4">
        <v>1781.6473000000001</v>
      </c>
      <c r="B2038" s="4">
        <v>1.1437553</v>
      </c>
      <c r="C2038" s="4">
        <v>1.186428</v>
      </c>
      <c r="D2038" s="4">
        <v>-29.305754999999998</v>
      </c>
      <c r="E2038" s="4">
        <f>((-33.7626243/(10/9))+-10.5)+-0.4</f>
        <v>-41.28636187</v>
      </c>
      <c r="F2038" s="4">
        <f>((-0.95100302*(1.3/1.5))*0.6)-0.3</f>
        <v>-0.79452157040000004</v>
      </c>
    </row>
    <row r="2039" spans="1:6" x14ac:dyDescent="0.4">
      <c r="A2039" s="4">
        <v>1782.5222250000002</v>
      </c>
      <c r="B2039" s="4">
        <v>1.1440017</v>
      </c>
      <c r="C2039" s="4">
        <v>1.1866097</v>
      </c>
      <c r="D2039" s="4">
        <v>-29.307281</v>
      </c>
      <c r="E2039" s="4">
        <f>((-33.7245903/(10/9))+-10.5)+-0.4</f>
        <v>-41.25213127</v>
      </c>
      <c r="F2039" s="4">
        <f>((-0.95116663*(1.3/1.5))*0.6)-0.3</f>
        <v>-0.79460664759999999</v>
      </c>
    </row>
    <row r="2040" spans="1:6" x14ac:dyDescent="0.4">
      <c r="A2040" s="4">
        <v>1783.39715</v>
      </c>
      <c r="B2040" s="4">
        <v>1.1440146</v>
      </c>
      <c r="C2040" s="4">
        <v>1.1867053999999999</v>
      </c>
      <c r="D2040" s="4">
        <v>-29.308989999999998</v>
      </c>
      <c r="E2040" s="4">
        <f>((-33.7090248/(10/9))+-10.5)+-0.4</f>
        <v>-41.238122319999995</v>
      </c>
      <c r="F2040" s="4">
        <f>((-0.95132554*(1.3/1.5))*0.6)-0.3</f>
        <v>-0.79468928080000001</v>
      </c>
    </row>
    <row r="2041" spans="1:6" x14ac:dyDescent="0.4">
      <c r="A2041" s="4">
        <v>1784.2720749999999</v>
      </c>
      <c r="B2041" s="4">
        <v>1.1441108</v>
      </c>
      <c r="C2041" s="4">
        <v>1.1869844000000001</v>
      </c>
      <c r="D2041" s="4">
        <v>-29.310715999999999</v>
      </c>
      <c r="E2041" s="4">
        <f>((-33.7267566/(10/9))+-10.5)+-0.4</f>
        <v>-41.254080940000001</v>
      </c>
      <c r="F2041" s="4">
        <f>((-0.95148998*(1.3/1.5))*0.6)-0.3</f>
        <v>-0.79477478959999992</v>
      </c>
    </row>
    <row r="2042" spans="1:6" x14ac:dyDescent="0.4">
      <c r="A2042" s="4">
        <v>1785.1469999999999</v>
      </c>
      <c r="B2042" s="4">
        <v>1.1443747</v>
      </c>
      <c r="C2042" s="4">
        <v>1.1871944999999999</v>
      </c>
      <c r="D2042" s="4">
        <v>-29.312165</v>
      </c>
      <c r="E2042" s="4">
        <f>((-33.6590055/(10/9))+-10.5)+-0.4</f>
        <v>-41.193104949999999</v>
      </c>
      <c r="F2042" s="4">
        <f>((-0.95172018*(1.3/1.5))*0.6)-0.3</f>
        <v>-0.79489449359999997</v>
      </c>
    </row>
    <row r="2043" spans="1:6" x14ac:dyDescent="0.4">
      <c r="A2043" s="4">
        <v>1786.021925</v>
      </c>
      <c r="B2043" s="4">
        <v>1.1446153999999999</v>
      </c>
      <c r="C2043" s="4">
        <v>1.1871685999999999</v>
      </c>
      <c r="D2043" s="4">
        <v>-29.314135999999998</v>
      </c>
      <c r="E2043" s="4">
        <f>((-33.7142565/(10/9))+-10.5)+-0.4</f>
        <v>-41.242830849999997</v>
      </c>
      <c r="F2043" s="4">
        <f>((-0.95193833*(1.3/1.5))*0.6)-0.3</f>
        <v>-0.79500793160000005</v>
      </c>
    </row>
    <row r="2044" spans="1:6" x14ac:dyDescent="0.4">
      <c r="A2044" s="4">
        <v>1786.8968500000001</v>
      </c>
      <c r="B2044" s="4">
        <v>1.1447735999999999</v>
      </c>
      <c r="C2044" s="4">
        <v>1.1872841999999999</v>
      </c>
      <c r="D2044" s="4">
        <v>-29.315911</v>
      </c>
      <c r="E2044" s="4">
        <f>((-33.6691575/(10/9))+-10.5)+-0.4</f>
        <v>-41.202241749999992</v>
      </c>
      <c r="F2044" s="4">
        <f>((-0.95208538*(1.3/1.5))*0.6)-0.3</f>
        <v>-0.79508439759999994</v>
      </c>
    </row>
    <row r="2045" spans="1:6" x14ac:dyDescent="0.4">
      <c r="A2045" s="4">
        <v>1787.7717749999999</v>
      </c>
      <c r="B2045" s="4">
        <v>1.1448351999999999</v>
      </c>
      <c r="C2045" s="4">
        <v>1.1875552</v>
      </c>
      <c r="D2045" s="4">
        <v>-29.317339999999998</v>
      </c>
      <c r="E2045" s="4">
        <f>((-33.6670875/(10/9))+-10.5)+-0.4</f>
        <v>-41.200378749999999</v>
      </c>
      <c r="F2045" s="4">
        <f>((-0.95223761*(1.3/1.5))*0.6)-0.3</f>
        <v>-0.79516355719999998</v>
      </c>
    </row>
    <row r="2046" spans="1:6" x14ac:dyDescent="0.4">
      <c r="A2046" s="4">
        <v>1788.6467</v>
      </c>
      <c r="B2046" s="4">
        <v>1.1449085000000001</v>
      </c>
      <c r="C2046" s="4">
        <v>1.1876708</v>
      </c>
      <c r="D2046" s="4">
        <v>-29.318743999999999</v>
      </c>
      <c r="E2046" s="4">
        <f>((-33.6876426/(10/9))+-10.5)+-0.4</f>
        <v>-41.218878339999996</v>
      </c>
      <c r="F2046" s="4">
        <f>((-0.95243394*(1.3/1.5))*0.6)-0.3</f>
        <v>-0.79526564880000006</v>
      </c>
    </row>
    <row r="2047" spans="1:6" x14ac:dyDescent="0.4">
      <c r="A2047" s="4">
        <v>1789.5216250000001</v>
      </c>
      <c r="B2047" s="4">
        <v>1.1450880999999999</v>
      </c>
      <c r="C2047" s="4">
        <v>1.1879097000000001</v>
      </c>
      <c r="D2047" s="4">
        <v>-29.320305999999999</v>
      </c>
      <c r="E2047" s="4">
        <f>((-33.6625317/(10/9))+-10.5)+-0.4</f>
        <v>-41.196278530000001</v>
      </c>
      <c r="F2047" s="4">
        <f>((-0.95267671*(1.3/1.5))*0.6)-0.3</f>
        <v>-0.79539188920000004</v>
      </c>
    </row>
    <row r="2048" spans="1:6" x14ac:dyDescent="0.4">
      <c r="A2048" s="4">
        <v>1790.3965499999999</v>
      </c>
      <c r="B2048" s="4">
        <v>1.1452370000000001</v>
      </c>
      <c r="C2048" s="4">
        <v>1.1883838</v>
      </c>
      <c r="D2048" s="4">
        <v>-29.321829999999999</v>
      </c>
      <c r="E2048" s="4">
        <f>((-33.6515589/(10/9))+-10.5)+-0.4</f>
        <v>-41.186403009999999</v>
      </c>
      <c r="F2048" s="4">
        <f>((-0.95285815*(1.3/1.5))*0.6)-0.3</f>
        <v>-0.79548623799999996</v>
      </c>
    </row>
    <row r="2049" spans="1:6" x14ac:dyDescent="0.4">
      <c r="A2049" s="4">
        <v>1791.271475</v>
      </c>
      <c r="B2049" s="4">
        <v>1.1454481999999999</v>
      </c>
      <c r="C2049" s="4">
        <v>1.1883664</v>
      </c>
      <c r="D2049" s="4">
        <v>-29.323432</v>
      </c>
      <c r="E2049" s="4">
        <f>((-33.6804705/(10/9))+-10.5)+-0.4</f>
        <v>-41.212423449999996</v>
      </c>
      <c r="F2049" s="4">
        <f>((-0.95306331*(1.3/1.5))*0.6)-0.3</f>
        <v>-0.79559292119999991</v>
      </c>
    </row>
    <row r="2050" spans="1:6" x14ac:dyDescent="0.4">
      <c r="A2050" s="4">
        <v>1792.1463999999999</v>
      </c>
      <c r="B2050" s="4">
        <v>1.1456089</v>
      </c>
      <c r="C2050" s="4">
        <v>1.1884637</v>
      </c>
      <c r="D2050" s="4">
        <v>-29.324795999999999</v>
      </c>
      <c r="E2050" s="4">
        <f>((-33.6594078/(10/9))+-10.5)+-0.4</f>
        <v>-41.193467019999993</v>
      </c>
      <c r="F2050" s="4">
        <f>((-0.95331728*(1.3/1.5))*0.6)-0.3</f>
        <v>-0.79572498560000005</v>
      </c>
    </row>
    <row r="2051" spans="1:6" x14ac:dyDescent="0.4">
      <c r="A2051" s="4">
        <v>1793.0213249999999</v>
      </c>
      <c r="B2051" s="4">
        <v>1.1457112</v>
      </c>
      <c r="C2051" s="4">
        <v>1.1886106000000001</v>
      </c>
      <c r="D2051" s="4">
        <v>-29.326233999999999</v>
      </c>
      <c r="E2051" s="4">
        <f>((-33.6605166/(10/9))+-10.5)+-0.4</f>
        <v>-41.194464939999996</v>
      </c>
      <c r="F2051" s="4">
        <f>((-0.95353854*(1.3/1.5))*0.6)-0.3</f>
        <v>-0.79584004080000004</v>
      </c>
    </row>
    <row r="2052" spans="1:6" x14ac:dyDescent="0.4">
      <c r="A2052" s="4">
        <v>1793.89625</v>
      </c>
      <c r="B2052" s="4">
        <v>1.1461399999999999</v>
      </c>
      <c r="C2052" s="4">
        <v>1.1887935000000001</v>
      </c>
      <c r="D2052" s="4">
        <v>-29.327801999999998</v>
      </c>
      <c r="E2052" s="4">
        <f>((-33.6576429/(10/9))+-10.5)+-0.4</f>
        <v>-41.191878609999996</v>
      </c>
      <c r="F2052" s="4">
        <f>((-0.95375049*(1.3/1.5))*0.6)-0.3</f>
        <v>-0.79595025479999992</v>
      </c>
    </row>
    <row r="2053" spans="1:6" x14ac:dyDescent="0.4">
      <c r="A2053" s="4">
        <v>1794.7711750000001</v>
      </c>
      <c r="B2053" s="4">
        <v>1.1461918</v>
      </c>
      <c r="C2053" s="4">
        <v>1.1890050000000001</v>
      </c>
      <c r="D2053" s="4">
        <v>-29.329460999999998</v>
      </c>
      <c r="E2053" s="4">
        <f>((-33.6508686/(10/9))+-10.5)+-0.4</f>
        <v>-41.185781740000003</v>
      </c>
      <c r="F2053" s="4">
        <f>((-0.95401919*(1.3/1.5))*0.6)-0.3</f>
        <v>-0.79608997879999999</v>
      </c>
    </row>
    <row r="2054" spans="1:6" x14ac:dyDescent="0.4">
      <c r="A2054" s="4">
        <v>1795.6461000000002</v>
      </c>
      <c r="B2054" s="4">
        <v>1.1463365999999999</v>
      </c>
      <c r="C2054" s="4">
        <v>1.1890917999999999</v>
      </c>
      <c r="D2054" s="4">
        <v>-29.330963999999998</v>
      </c>
      <c r="E2054" s="4">
        <f>((-33.6228714/(10/9))+-10.5)+-0.4</f>
        <v>-41.16058426</v>
      </c>
      <c r="F2054" s="4">
        <f>((-0.95436537*(1.3/1.5))*0.6)-0.3</f>
        <v>-0.79626999239999996</v>
      </c>
    </row>
    <row r="2055" spans="1:6" x14ac:dyDescent="0.4">
      <c r="A2055" s="4">
        <v>1796.521025</v>
      </c>
      <c r="B2055" s="4">
        <v>1.1463832</v>
      </c>
      <c r="C2055" s="4">
        <v>1.1894426</v>
      </c>
      <c r="D2055" s="4">
        <v>-29.332470999999998</v>
      </c>
      <c r="E2055" s="4">
        <f>((-33.6379914/(10/9))+-10.5)+-0.4</f>
        <v>-41.174192259999991</v>
      </c>
      <c r="F2055" s="4">
        <f>((-0.95467514*(1.3/1.5))*0.6)-0.3</f>
        <v>-0.79643107279999992</v>
      </c>
    </row>
    <row r="2056" spans="1:6" x14ac:dyDescent="0.4">
      <c r="A2056" s="4">
        <v>1797.3959499999999</v>
      </c>
      <c r="B2056" s="4">
        <v>1.1467339000000001</v>
      </c>
      <c r="C2056" s="4">
        <v>1.1894701999999999</v>
      </c>
      <c r="D2056" s="4">
        <v>-29.334206999999999</v>
      </c>
      <c r="E2056" s="4">
        <f>((-33.6006612/(10/9))+-10.5)+-0.4</f>
        <v>-41.14059507999999</v>
      </c>
      <c r="F2056" s="4">
        <f>((-0.95493305*(1.3/1.5))*0.6)-0.3</f>
        <v>-0.79656518599999993</v>
      </c>
    </row>
    <row r="2057" spans="1:6" x14ac:dyDescent="0.4">
      <c r="A2057" s="4">
        <v>1798.2708749999999</v>
      </c>
      <c r="B2057" s="4">
        <v>1.1466221000000001</v>
      </c>
      <c r="C2057" s="4">
        <v>1.1898782000000001</v>
      </c>
      <c r="D2057" s="4">
        <v>-29.335858999999999</v>
      </c>
      <c r="E2057" s="4">
        <f>((-33.6185415/(10/9))+-10.5)+-0.4</f>
        <v>-41.156687349999991</v>
      </c>
      <c r="F2057" s="4">
        <f>((-0.95525032*(1.3/1.5))*0.6)-0.3</f>
        <v>-0.79673016639999994</v>
      </c>
    </row>
    <row r="2058" spans="1:6" x14ac:dyDescent="0.4">
      <c r="A2058" s="4">
        <v>1799.1458</v>
      </c>
      <c r="B2058" s="4">
        <v>1.1470646</v>
      </c>
      <c r="C2058" s="4">
        <v>1.1898485000000001</v>
      </c>
      <c r="D2058" s="4">
        <v>-29.337641999999999</v>
      </c>
      <c r="E2058" s="4">
        <f>((-33.6132/(10/9))+-10.5)+-0.4</f>
        <v>-41.151879999999998</v>
      </c>
      <c r="F2058" s="4">
        <f>((-0.95565641*(1.3/1.5))*0.6)-0.3</f>
        <v>-0.79694133319999994</v>
      </c>
    </row>
    <row r="2059" spans="1:6" x14ac:dyDescent="0.4">
      <c r="A2059" s="4">
        <v>1800.0207250000001</v>
      </c>
      <c r="B2059" s="4">
        <v>1.1470001000000001</v>
      </c>
      <c r="C2059" s="4">
        <v>1.1899185999999999</v>
      </c>
      <c r="D2059" s="4">
        <v>-29.339459999999999</v>
      </c>
      <c r="E2059" s="4">
        <f>((-33.6623733/(10/9))+-10.5)+-0.4</f>
        <v>-41.196135969999993</v>
      </c>
      <c r="F2059" s="4">
        <f>((-0.95601714*(1.3/1.5))*0.6)-0.3</f>
        <v>-0.79712891280000009</v>
      </c>
    </row>
    <row r="2060" spans="1:6" x14ac:dyDescent="0.4">
      <c r="A2060" s="4">
        <v>1800.8956499999999</v>
      </c>
      <c r="B2060" s="4">
        <v>1.1473606000000001</v>
      </c>
      <c r="C2060" s="4">
        <v>1.1901299000000001</v>
      </c>
      <c r="D2060" s="4">
        <v>-29.341275</v>
      </c>
      <c r="E2060" s="4">
        <f>((-33.5613789/(10/9))+-10.5)+-0.4</f>
        <v>-41.105241009999993</v>
      </c>
      <c r="F2060" s="4">
        <f>((-0.95644087*(1.3/1.5))*0.6)-0.3</f>
        <v>-0.79734925239999999</v>
      </c>
    </row>
    <row r="2061" spans="1:6" x14ac:dyDescent="0.4">
      <c r="A2061" s="4">
        <v>1801.770575</v>
      </c>
      <c r="B2061" s="4">
        <v>1.1473032000000001</v>
      </c>
      <c r="C2061" s="4">
        <v>1.1902339</v>
      </c>
      <c r="D2061" s="4">
        <v>-29.342927</v>
      </c>
      <c r="E2061" s="4">
        <f>((-33.5764296/(10/9))+-10.5)+-0.4</f>
        <v>-41.118786639999996</v>
      </c>
      <c r="F2061" s="4">
        <f>((-0.95688248*(1.3/1.5))*0.6)-0.3</f>
        <v>-0.79757888960000001</v>
      </c>
    </row>
    <row r="2062" spans="1:6" x14ac:dyDescent="0.4">
      <c r="A2062" s="4">
        <v>1802.6455000000001</v>
      </c>
      <c r="B2062" s="4">
        <v>1.1475834</v>
      </c>
      <c r="C2062" s="4">
        <v>1.1907473</v>
      </c>
      <c r="D2062" s="4">
        <v>-29.344552</v>
      </c>
      <c r="E2062" s="4">
        <f>((-33.59088/(10/9))+-10.5)+-0.4</f>
        <v>-41.131791999999997</v>
      </c>
      <c r="F2062" s="4">
        <f>((-0.95723766*(1.3/1.5))*0.6)-0.3</f>
        <v>-0.79776358319999996</v>
      </c>
    </row>
    <row r="2063" spans="1:6" x14ac:dyDescent="0.4">
      <c r="A2063" s="4">
        <v>1803.5204250000002</v>
      </c>
      <c r="B2063" s="4">
        <v>1.1477326000000001</v>
      </c>
      <c r="C2063" s="4">
        <v>1.1907562</v>
      </c>
      <c r="D2063" s="4">
        <v>-29.346070000000001</v>
      </c>
      <c r="E2063" s="4">
        <f>((-33.5606949/(10/9))+-10.5)+-0.4</f>
        <v>-41.104625409999997</v>
      </c>
      <c r="F2063" s="4">
        <f>((-0.95762193*(1.3/1.5))*0.6)-0.3</f>
        <v>-0.79796340360000007</v>
      </c>
    </row>
    <row r="2064" spans="1:6" x14ac:dyDescent="0.4">
      <c r="A2064" s="4">
        <v>1804.39535</v>
      </c>
      <c r="B2064" s="4">
        <v>1.1479159999999999</v>
      </c>
      <c r="C2064" s="4">
        <v>1.1907749999999999</v>
      </c>
      <c r="D2064" s="4">
        <v>-29.347698999999999</v>
      </c>
      <c r="E2064" s="4">
        <f>((-33.5301462/(10/9))+-10.5)+-0.4</f>
        <v>-41.077131579999993</v>
      </c>
      <c r="F2064" s="4">
        <f>((-0.95800906*(1.3/1.5))*0.6)-0.3</f>
        <v>-0.79816471119999999</v>
      </c>
    </row>
    <row r="2065" spans="1:6" x14ac:dyDescent="0.4">
      <c r="A2065" s="4">
        <v>1805.2702749999999</v>
      </c>
      <c r="B2065" s="4">
        <v>1.1480197999999999</v>
      </c>
      <c r="C2065" s="4">
        <v>1.1910863</v>
      </c>
      <c r="D2065" s="4">
        <v>-29.349671999999998</v>
      </c>
      <c r="E2065" s="4">
        <f>((-33.5351592/(10/9))+-10.5)+-0.4</f>
        <v>-41.081643280000002</v>
      </c>
      <c r="F2065" s="4">
        <f>((-0.95837015*(1.3/1.5))*0.6)-0.3</f>
        <v>-0.79835247799999998</v>
      </c>
    </row>
    <row r="2066" spans="1:6" x14ac:dyDescent="0.4">
      <c r="A2066" s="4">
        <v>1806.1451999999999</v>
      </c>
      <c r="B2066" s="4">
        <v>1.1482521999999999</v>
      </c>
      <c r="C2066" s="4">
        <v>1.1911290999999999</v>
      </c>
      <c r="D2066" s="4">
        <v>-29.351375000000001</v>
      </c>
      <c r="E2066" s="4">
        <f>((-33.5868084/(10/9))+-10.5)+-0.4</f>
        <v>-41.128127560000003</v>
      </c>
      <c r="F2066" s="4">
        <f>((-0.95877981*(1.3/1.5))*0.6)-0.3</f>
        <v>-0.79856550120000003</v>
      </c>
    </row>
    <row r="2067" spans="1:6" x14ac:dyDescent="0.4">
      <c r="A2067" s="4">
        <v>1807.020125</v>
      </c>
      <c r="B2067" s="4">
        <v>1.148584</v>
      </c>
      <c r="C2067" s="4">
        <v>1.1915671000000001</v>
      </c>
      <c r="D2067" s="4">
        <v>-29.353099</v>
      </c>
      <c r="E2067" s="4">
        <f>((-33.5418777/(10/9))+-10.5)+-0.4</f>
        <v>-41.087689929999996</v>
      </c>
      <c r="F2067" s="4">
        <f>((-0.95921779*(1.3/1.5))*0.6)-0.3</f>
        <v>-0.79879325079999997</v>
      </c>
    </row>
    <row r="2068" spans="1:6" x14ac:dyDescent="0.4">
      <c r="A2068" s="4">
        <v>1807.8950500000001</v>
      </c>
      <c r="B2068" s="4">
        <v>1.1486137000000001</v>
      </c>
      <c r="C2068" s="4">
        <v>1.1915429</v>
      </c>
      <c r="D2068" s="4">
        <v>-29.354779000000001</v>
      </c>
      <c r="E2068" s="4">
        <f>((-33.5552949/(10/9))+-10.5)+-0.4</f>
        <v>-41.099765409999996</v>
      </c>
      <c r="F2068" s="4">
        <f>((-0.95962048*(1.3/1.5))*0.6)-0.3</f>
        <v>-0.7990026496</v>
      </c>
    </row>
    <row r="2069" spans="1:6" x14ac:dyDescent="0.4">
      <c r="A2069" s="4">
        <v>1808.7699750000002</v>
      </c>
      <c r="B2069" s="4">
        <v>1.1488096999999999</v>
      </c>
      <c r="C2069" s="4">
        <v>1.1918827000000001</v>
      </c>
      <c r="D2069" s="4">
        <v>-29.356368</v>
      </c>
      <c r="E2069" s="4">
        <f>((-33.5476836/(10/9))+-10.5)+-0.4</f>
        <v>-41.092915239999996</v>
      </c>
      <c r="F2069" s="4">
        <f>((-0.96008343*(1.3/1.5))*0.6)-0.3</f>
        <v>-0.79924338359999991</v>
      </c>
    </row>
    <row r="2070" spans="1:6" x14ac:dyDescent="0.4">
      <c r="A2070" s="4">
        <v>1809.6449</v>
      </c>
      <c r="B2070" s="4">
        <v>1.1490085000000001</v>
      </c>
      <c r="C2070" s="4">
        <v>1.1920850999999999</v>
      </c>
      <c r="D2070" s="4">
        <v>-29.357790999999999</v>
      </c>
      <c r="E2070" s="4">
        <f>((-33.5106423/(10/9))+-10.5)+-0.4</f>
        <v>-41.059578069999993</v>
      </c>
      <c r="F2070" s="4">
        <f>((-0.96061945*(1.3/1.5))*0.6)-0.3</f>
        <v>-0.79952211399999995</v>
      </c>
    </row>
    <row r="2071" spans="1:6" x14ac:dyDescent="0.4">
      <c r="A2071" s="4">
        <v>1810.5198249999999</v>
      </c>
      <c r="B2071" s="4">
        <v>1.1491399</v>
      </c>
      <c r="C2071" s="4">
        <v>1.1921443</v>
      </c>
      <c r="D2071" s="4">
        <v>-29.359334</v>
      </c>
      <c r="E2071" s="4">
        <f>((-33.5865438/(10/9))+-10.5)+-0.4</f>
        <v>-41.127889419999995</v>
      </c>
      <c r="F2071" s="4">
        <f>((-0.96114659*(1.3/1.5))*0.6)-0.3</f>
        <v>-0.79979622679999995</v>
      </c>
    </row>
    <row r="2072" spans="1:6" x14ac:dyDescent="0.4">
      <c r="A2072" s="4">
        <v>1811.3947499999999</v>
      </c>
      <c r="B2072" s="4">
        <v>1.1495237</v>
      </c>
      <c r="C2072" s="4">
        <v>1.1924132000000001</v>
      </c>
      <c r="D2072" s="4">
        <v>-29.361038999999998</v>
      </c>
      <c r="E2072" s="4">
        <f>((-33.5152908/(10/9))+-10.5)+-0.4</f>
        <v>-41.063761719999995</v>
      </c>
      <c r="F2072" s="4">
        <f>((-0.96171826*(1.3/1.5))*0.6)-0.3</f>
        <v>-0.80009349520000006</v>
      </c>
    </row>
    <row r="2073" spans="1:6" x14ac:dyDescent="0.4">
      <c r="A2073" s="4">
        <v>1812.269675</v>
      </c>
      <c r="B2073" s="4">
        <v>1.1495702999999999</v>
      </c>
      <c r="C2073" s="4">
        <v>1.1924446</v>
      </c>
      <c r="D2073" s="4">
        <v>-29.362907</v>
      </c>
      <c r="E2073" s="4">
        <f>((-33.5043459/(10/9))+-10.5)+-0.4</f>
        <v>-41.053911309999997</v>
      </c>
      <c r="F2073" s="4">
        <f>((-0.96226102*(1.3/1.5))*0.6)-0.3</f>
        <v>-0.8003757304000001</v>
      </c>
    </row>
    <row r="2074" spans="1:6" x14ac:dyDescent="0.4">
      <c r="A2074" s="4">
        <v>1813.1446000000001</v>
      </c>
      <c r="B2074" s="4">
        <v>1.1498288999999999</v>
      </c>
      <c r="C2074" s="4">
        <v>1.1926562000000001</v>
      </c>
      <c r="D2074" s="4">
        <v>-29.364338999999998</v>
      </c>
      <c r="E2074" s="4">
        <f>((-33.5144016/(10/9))+-10.5)+-0.4</f>
        <v>-41.062961439999995</v>
      </c>
      <c r="F2074" s="4">
        <f>((-0.96279126*(1.3/1.5))*0.6)-0.3</f>
        <v>-0.80065145519999992</v>
      </c>
    </row>
    <row r="2075" spans="1:6" x14ac:dyDescent="0.4">
      <c r="A2075" s="4">
        <v>1814.0195249999999</v>
      </c>
      <c r="B2075" s="4">
        <v>1.1499069</v>
      </c>
      <c r="C2075" s="4">
        <v>1.1928669999999999</v>
      </c>
      <c r="D2075" s="4">
        <v>-29.365783</v>
      </c>
      <c r="E2075" s="4">
        <f>((-33.5132685/(10/9))+-10.5)+-0.4</f>
        <v>-41.061941650000001</v>
      </c>
      <c r="F2075" s="4">
        <f>((-0.96337324*(1.3/1.5))*0.6)-0.3</f>
        <v>-0.80095408480000008</v>
      </c>
    </row>
    <row r="2076" spans="1:6" x14ac:dyDescent="0.4">
      <c r="A2076" s="4">
        <v>1814.89445</v>
      </c>
      <c r="B2076" s="4">
        <v>1.1500764999999999</v>
      </c>
      <c r="C2076" s="4">
        <v>1.1932024000000001</v>
      </c>
      <c r="D2076" s="4">
        <v>-29.367325999999998</v>
      </c>
      <c r="E2076" s="4">
        <f>((-33.4907505/(10/9))+-10.5)+-0.4</f>
        <v>-41.041675449999993</v>
      </c>
      <c r="F2076" s="4">
        <f>((-0.9640221*(1.3/1.5))*0.6)-0.3</f>
        <v>-0.80129149200000005</v>
      </c>
    </row>
    <row r="2077" spans="1:6" x14ac:dyDescent="0.4">
      <c r="A2077" s="4">
        <v>1815.7693750000001</v>
      </c>
      <c r="B2077" s="4">
        <v>1.1502352</v>
      </c>
      <c r="C2077" s="4">
        <v>1.1933271999999999</v>
      </c>
      <c r="D2077" s="4">
        <v>-29.368665</v>
      </c>
      <c r="E2077" s="4">
        <f>((-33.5093751/(10/9))+-10.5)+-0.4</f>
        <v>-41.058437589999997</v>
      </c>
      <c r="F2077" s="4">
        <f>((-0.96467012*(1.3/1.5))*0.6)-0.3</f>
        <v>-0.80162846239999985</v>
      </c>
    </row>
    <row r="2078" spans="1:6" x14ac:dyDescent="0.4">
      <c r="A2078" s="4">
        <v>1816.6443000000002</v>
      </c>
      <c r="B2078" s="4">
        <v>1.1505212</v>
      </c>
      <c r="C2078" s="4">
        <v>1.1935074000000001</v>
      </c>
      <c r="D2078" s="4">
        <v>-29.369959999999999</v>
      </c>
      <c r="E2078" s="4">
        <f>((-33.4882404/(10/9))+-10.5)+-0.4</f>
        <v>-41.039416359999997</v>
      </c>
      <c r="F2078" s="4">
        <f>((-0.96533114*(1.3/1.5))*0.6)-0.3</f>
        <v>-0.80197219279999987</v>
      </c>
    </row>
    <row r="2079" spans="1:6" x14ac:dyDescent="0.4">
      <c r="A2079" s="4">
        <v>1817.519225</v>
      </c>
      <c r="B2079" s="4">
        <v>1.1506239</v>
      </c>
      <c r="C2079" s="4">
        <v>1.1937553999999999</v>
      </c>
      <c r="D2079" s="4">
        <v>-29.371372999999998</v>
      </c>
      <c r="E2079" s="4">
        <f>((-33.4775079/(10/9))+-10.5)+-0.4</f>
        <v>-41.029757109999998</v>
      </c>
      <c r="F2079" s="4">
        <f>((-0.96599925*(1.3/1.5))*0.6)-0.3</f>
        <v>-0.80231961000000007</v>
      </c>
    </row>
    <row r="2080" spans="1:6" x14ac:dyDescent="0.4">
      <c r="A2080" s="4">
        <v>1818.3941499999999</v>
      </c>
      <c r="B2080" s="4">
        <v>1.1508594000000001</v>
      </c>
      <c r="C2080" s="4">
        <v>1.1938868</v>
      </c>
      <c r="D2080" s="4">
        <v>-29.372502999999998</v>
      </c>
      <c r="E2080" s="4">
        <f>((-33.4248669/(10/9))+-10.5)+-0.4</f>
        <v>-40.982380209999995</v>
      </c>
      <c r="F2080" s="4">
        <f>((-0.96666175*(1.3/1.5))*0.6)-0.3</f>
        <v>-0.80266411000000004</v>
      </c>
    </row>
    <row r="2081" spans="1:6" x14ac:dyDescent="0.4">
      <c r="A2081" s="4">
        <v>1819.2690749999999</v>
      </c>
      <c r="B2081" s="4">
        <v>1.1512085999999999</v>
      </c>
      <c r="C2081" s="4">
        <v>1.1939921</v>
      </c>
      <c r="D2081" s="4">
        <v>-29.374081999999998</v>
      </c>
      <c r="E2081" s="4">
        <f>((-33.4319868/(10/9))+-10.5)+-0.4</f>
        <v>-40.988788119999995</v>
      </c>
      <c r="F2081" s="4">
        <f>((-0.96738136*(1.3/1.5))*0.6)-0.3</f>
        <v>-0.80303830720000002</v>
      </c>
    </row>
    <row r="2082" spans="1:6" x14ac:dyDescent="0.4">
      <c r="A2082" s="4">
        <v>1820.144</v>
      </c>
      <c r="B2082" s="4">
        <v>1.1514702000000001</v>
      </c>
      <c r="C2082" s="4">
        <v>1.1942402000000001</v>
      </c>
      <c r="D2082" s="4">
        <v>-29.375297</v>
      </c>
      <c r="E2082" s="4">
        <f>((-33.451659/(10/9))+-10.5)+-0.4</f>
        <v>-41.006493099999993</v>
      </c>
      <c r="F2082" s="4">
        <f>((-0.96810466*(1.3/1.5))*0.6)-0.3</f>
        <v>-0.80341442320000001</v>
      </c>
    </row>
    <row r="2083" spans="1:6" x14ac:dyDescent="0.4">
      <c r="A2083" s="4">
        <v>1821.0189250000001</v>
      </c>
      <c r="B2083" s="4">
        <v>1.1515683999999999</v>
      </c>
      <c r="C2083" s="4">
        <v>1.1944009</v>
      </c>
      <c r="D2083" s="4">
        <v>-29.376418000000001</v>
      </c>
      <c r="E2083" s="4">
        <f>((-33.461784/(10/9))+-10.5)+-0.4</f>
        <v>-41.015605599999994</v>
      </c>
      <c r="F2083" s="4">
        <f>((-0.96883792*(1.3/1.5))*0.6)-0.3</f>
        <v>-0.80379571839999997</v>
      </c>
    </row>
    <row r="2084" spans="1:6" x14ac:dyDescent="0.4">
      <c r="A2084" s="4">
        <v>1821.8938500000002</v>
      </c>
      <c r="B2084" s="4">
        <v>1.1518166000000001</v>
      </c>
      <c r="C2084" s="4">
        <v>1.1946893000000001</v>
      </c>
      <c r="D2084" s="4">
        <v>-29.377399</v>
      </c>
      <c r="E2084" s="4">
        <f>((-33.4663848/(10/9))+-10.5)+-0.4</f>
        <v>-41.019746319999996</v>
      </c>
      <c r="F2084" s="4">
        <f>((-0.96963805*(1.3/1.5))*0.6)-0.3</f>
        <v>-0.80421178599999998</v>
      </c>
    </row>
    <row r="2085" spans="1:6" x14ac:dyDescent="0.4">
      <c r="A2085" s="4">
        <v>1822.768775</v>
      </c>
      <c r="B2085" s="4">
        <v>1.1520859000000001</v>
      </c>
      <c r="C2085" s="4">
        <v>1.1950422999999999</v>
      </c>
      <c r="D2085" s="4">
        <v>-29.378802</v>
      </c>
      <c r="E2085" s="4">
        <f>((-33.4154178/(10/9))+-10.5)+-0.4</f>
        <v>-40.973876019999999</v>
      </c>
      <c r="F2085" s="4">
        <f>((-0.97049057*(1.3/1.5))*0.6)-0.3</f>
        <v>-0.8046550964000001</v>
      </c>
    </row>
    <row r="2086" spans="1:6" x14ac:dyDescent="0.4">
      <c r="A2086" s="4">
        <v>1823.6436999999999</v>
      </c>
      <c r="B2086" s="4">
        <v>1.1521944</v>
      </c>
      <c r="C2086" s="4">
        <v>1.1951398</v>
      </c>
      <c r="D2086" s="4">
        <v>-29.380430999999998</v>
      </c>
      <c r="E2086" s="4">
        <f>((-33.4594773/(10/9))+-10.5)+-0.4</f>
        <v>-41.013529569999996</v>
      </c>
      <c r="F2086" s="4">
        <f>((-0.97129083*(1.3/1.5))*0.6)-0.3</f>
        <v>-0.80507123159999994</v>
      </c>
    </row>
    <row r="2087" spans="1:6" x14ac:dyDescent="0.4">
      <c r="A2087" s="4">
        <v>1824.5186249999999</v>
      </c>
      <c r="B2087" s="4">
        <v>1.1523494999999999</v>
      </c>
      <c r="C2087" s="4">
        <v>1.1952990999999999</v>
      </c>
      <c r="D2087" s="4">
        <v>-29.381405999999998</v>
      </c>
      <c r="E2087" s="4">
        <f>((-33.4142613/(10/9))+-10.5)+-0.4</f>
        <v>-40.972835169999996</v>
      </c>
      <c r="F2087" s="4">
        <f>((-0.97204292*(1.3/1.5))*0.6)-0.3</f>
        <v>-0.80546231840000004</v>
      </c>
    </row>
    <row r="2088" spans="1:6" x14ac:dyDescent="0.4">
      <c r="A2088" s="4">
        <v>1825.39355</v>
      </c>
      <c r="B2088" s="4">
        <v>1.1525409</v>
      </c>
      <c r="C2088" s="4">
        <v>1.1957306999999999</v>
      </c>
      <c r="D2088" s="4">
        <v>-29.382570999999999</v>
      </c>
      <c r="E2088" s="4">
        <f>((-33.4423449/(10/9))+-10.5)+-0.4</f>
        <v>-40.998110410000002</v>
      </c>
      <c r="F2088" s="4">
        <f>((-0.97287464*(1.3/1.5))*0.6)-0.3</f>
        <v>-0.80589481280000008</v>
      </c>
    </row>
    <row r="2089" spans="1:6" x14ac:dyDescent="0.4">
      <c r="A2089" s="4">
        <v>1826.2684750000001</v>
      </c>
      <c r="B2089" s="4">
        <v>1.1527362999999999</v>
      </c>
      <c r="C2089" s="4">
        <v>1.1958776</v>
      </c>
      <c r="D2089" s="4">
        <v>-29.383990000000001</v>
      </c>
      <c r="E2089" s="4">
        <f>((-33.4521774/(10/9))+-10.5)+-0.4</f>
        <v>-41.006959659999993</v>
      </c>
      <c r="F2089" s="4">
        <f>((-0.9737367*(1.3/1.5))*0.6)-0.3</f>
        <v>-0.8063430840000001</v>
      </c>
    </row>
    <row r="2090" spans="1:6" x14ac:dyDescent="0.4">
      <c r="A2090" s="4">
        <v>1827.1433999999999</v>
      </c>
      <c r="B2090" s="4">
        <v>1.1530172999999999</v>
      </c>
      <c r="C2090" s="4">
        <v>1.1961360999999999</v>
      </c>
      <c r="D2090" s="4">
        <v>-29.385370999999999</v>
      </c>
      <c r="E2090" s="4">
        <f>((-33.4063098/(10/9))+-10.5)+-0.4</f>
        <v>-40.965678820000001</v>
      </c>
      <c r="F2090" s="4">
        <f>((-0.97458506*(1.3/1.5))*0.6)-0.3</f>
        <v>-0.80678423119999998</v>
      </c>
    </row>
    <row r="2091" spans="1:6" x14ac:dyDescent="0.4">
      <c r="A2091" s="4">
        <v>1828.018325</v>
      </c>
      <c r="B2091" s="4">
        <v>1.153168</v>
      </c>
      <c r="C2091" s="4">
        <v>1.1961535000000001</v>
      </c>
      <c r="D2091" s="4">
        <v>-29.386253</v>
      </c>
      <c r="E2091" s="4">
        <f>((-33.4074906/(10/9))+-10.5)+-0.4</f>
        <v>-40.966741540000001</v>
      </c>
      <c r="F2091" s="4">
        <f>((-0.97544605*(1.3/1.5))*0.6)-0.3</f>
        <v>-0.80723194599999992</v>
      </c>
    </row>
    <row r="2092" spans="1:6" x14ac:dyDescent="0.4">
      <c r="A2092" s="4">
        <v>1828.8932500000001</v>
      </c>
      <c r="B2092" s="4">
        <v>1.1532690999999999</v>
      </c>
      <c r="C2092" s="4">
        <v>1.1962689</v>
      </c>
      <c r="D2092" s="4">
        <v>-29.387661999999999</v>
      </c>
      <c r="E2092" s="4">
        <f>((-33.4043838/(10/9))+-10.5)+-0.4</f>
        <v>-40.963945419999995</v>
      </c>
      <c r="F2092" s="4">
        <f>((-0.97630894*(1.3/1.5))*0.6)-0.3</f>
        <v>-0.8076806487999999</v>
      </c>
    </row>
    <row r="2093" spans="1:6" x14ac:dyDescent="0.4">
      <c r="A2093" s="4">
        <v>1829.7681750000002</v>
      </c>
      <c r="B2093" s="4">
        <v>1.1534306999999999</v>
      </c>
      <c r="C2093" s="4">
        <v>1.1966877</v>
      </c>
      <c r="D2093" s="4">
        <v>-29.388852</v>
      </c>
      <c r="E2093" s="4">
        <f>((-33.3457101/(10/9))+-10.5)+-0.4</f>
        <v>-40.911139089999999</v>
      </c>
      <c r="F2093" s="4">
        <f>((-0.97715771*(1.3/1.5))*0.6)-0.3</f>
        <v>-0.80812200919999988</v>
      </c>
    </row>
    <row r="2094" spans="1:6" x14ac:dyDescent="0.4">
      <c r="A2094" s="4">
        <v>1830.6431</v>
      </c>
      <c r="B2094" s="4">
        <v>1.1538634000000001</v>
      </c>
      <c r="C2094" s="4">
        <v>1.1971008000000001</v>
      </c>
      <c r="D2094" s="4">
        <v>-29.390080999999999</v>
      </c>
      <c r="E2094" s="4">
        <f>((-33.3784494/(10/9))+-10.5)+-0.4</f>
        <v>-40.940604459999996</v>
      </c>
      <c r="F2094" s="4">
        <f>((-0.97799826*(1.3/1.5))*0.6)-0.3</f>
        <v>-0.80855909519999991</v>
      </c>
    </row>
    <row r="2095" spans="1:6" x14ac:dyDescent="0.4">
      <c r="A2095" s="4">
        <v>1831.5180249999999</v>
      </c>
      <c r="B2095" s="4">
        <v>1.1541665000000001</v>
      </c>
      <c r="C2095" s="4">
        <v>1.1973510000000001</v>
      </c>
      <c r="D2095" s="4">
        <v>-29.391179000000001</v>
      </c>
      <c r="E2095" s="4">
        <f>((-33.3823977/(10/9))+-10.5)+-0.4</f>
        <v>-40.944157929999996</v>
      </c>
      <c r="F2095" s="4">
        <f>((-0.97884327*(1.3/1.5))*0.6)-0.3</f>
        <v>-0.80899850039999999</v>
      </c>
    </row>
    <row r="2096" spans="1:6" x14ac:dyDescent="0.4">
      <c r="A2096" s="4">
        <v>1832.3929499999999</v>
      </c>
      <c r="B2096" s="4">
        <v>1.1542645</v>
      </c>
      <c r="C2096" s="4">
        <v>1.1974921000000001</v>
      </c>
      <c r="D2096" s="4">
        <v>-29.392254999999999</v>
      </c>
      <c r="E2096" s="4">
        <f>((-33.373962/(10/9))+-10.5)+-0.4</f>
        <v>-40.936565799999997</v>
      </c>
      <c r="F2096" s="4">
        <f>((-0.97976208*(1.3/1.5))*0.6)-0.3</f>
        <v>-0.80947628160000007</v>
      </c>
    </row>
    <row r="2097" spans="1:6" x14ac:dyDescent="0.4">
      <c r="A2097" s="4">
        <v>1833.267875</v>
      </c>
      <c r="B2097" s="4">
        <v>1.1544369000000001</v>
      </c>
      <c r="C2097" s="4">
        <v>1.1976682000000001</v>
      </c>
      <c r="D2097" s="4">
        <v>-29.393498999999998</v>
      </c>
      <c r="E2097" s="4">
        <f>((-33.385752/(10/9))+-10.5)+-0.4</f>
        <v>-40.947176799999994</v>
      </c>
      <c r="F2097" s="4">
        <f>((-0.98070449*(1.3/1.5))*0.6)-0.3</f>
        <v>-0.80996633479999991</v>
      </c>
    </row>
    <row r="2098" spans="1:6" x14ac:dyDescent="0.4">
      <c r="A2098" s="4">
        <v>1834.1428000000001</v>
      </c>
      <c r="B2098" s="4">
        <v>1.1546162</v>
      </c>
      <c r="C2098" s="4">
        <v>1.1977404</v>
      </c>
      <c r="D2098" s="4">
        <v>-29.394469000000001</v>
      </c>
      <c r="E2098" s="4">
        <f>((-33.3753147/(10/9))+-10.5)+-0.4</f>
        <v>-40.937783229999994</v>
      </c>
      <c r="F2098" s="4">
        <f>((-0.98157668*(1.3/1.5))*0.6)-0.3</f>
        <v>-0.8104198735999999</v>
      </c>
    </row>
    <row r="2099" spans="1:6" x14ac:dyDescent="0.4">
      <c r="A2099" s="4">
        <v>1835.0177250000002</v>
      </c>
      <c r="B2099" s="4">
        <v>1.1550494</v>
      </c>
      <c r="C2099" s="4">
        <v>1.1980921</v>
      </c>
      <c r="D2099" s="4">
        <v>-29.395488</v>
      </c>
      <c r="E2099" s="4">
        <f>((-33.3388125/(10/9))+-10.5)+-0.4</f>
        <v>-40.904931249999997</v>
      </c>
      <c r="F2099" s="4">
        <f>((-0.98249012*(1.3/1.5))*0.6)-0.3</f>
        <v>-0.81089486240000008</v>
      </c>
    </row>
    <row r="2100" spans="1:6" x14ac:dyDescent="0.4">
      <c r="A2100" s="4">
        <v>1835.89265</v>
      </c>
      <c r="B2100" s="4">
        <v>1.1550918999999999</v>
      </c>
      <c r="C2100" s="4">
        <v>1.1983941</v>
      </c>
      <c r="D2100" s="4">
        <v>-29.396342000000001</v>
      </c>
      <c r="E2100" s="4">
        <f>((-33.3617877/(10/9))+-10.5)+-0.4</f>
        <v>-40.925608930000003</v>
      </c>
      <c r="F2100" s="4">
        <f>((-0.98343879*(1.3/1.5))*0.6)-0.3</f>
        <v>-0.81138817079999992</v>
      </c>
    </row>
    <row r="2101" spans="1:6" x14ac:dyDescent="0.4">
      <c r="A2101" s="4">
        <v>1836.7675749999999</v>
      </c>
      <c r="B2101" s="4">
        <v>1.1554040999999999</v>
      </c>
      <c r="C2101" s="4">
        <v>1.1986991</v>
      </c>
      <c r="D2101" s="4">
        <v>-29.397617</v>
      </c>
      <c r="E2101" s="4">
        <f>((-33.3381123/(10/9))+-10.5)+-0.4</f>
        <v>-40.904301069999995</v>
      </c>
      <c r="F2101" s="4">
        <f>((-0.98428148*(1.3/1.5))*0.6)-0.3</f>
        <v>-0.8118263696000001</v>
      </c>
    </row>
    <row r="2102" spans="1:6" x14ac:dyDescent="0.4">
      <c r="A2102" s="4">
        <v>1837.6424999999999</v>
      </c>
      <c r="B2102" s="4">
        <v>1.1556576000000001</v>
      </c>
      <c r="C2102" s="4">
        <v>1.1988875999999999</v>
      </c>
      <c r="D2102" s="4">
        <v>-29.398731999999999</v>
      </c>
      <c r="E2102" s="4">
        <f>((-33.3370035/(10/9))+-10.5)+-0.4</f>
        <v>-40.903303149999999</v>
      </c>
      <c r="F2102" s="4">
        <f>((-0.98526305*(1.3/1.5))*0.6)-0.3</f>
        <v>-0.81233678599999992</v>
      </c>
    </row>
    <row r="2103" spans="1:6" x14ac:dyDescent="0.4">
      <c r="A2103" s="4">
        <v>1838.517425</v>
      </c>
      <c r="B2103" s="4">
        <v>1.1558366</v>
      </c>
      <c r="C2103" s="4">
        <v>1.1990733</v>
      </c>
      <c r="D2103" s="4">
        <v>-29.399601999999998</v>
      </c>
      <c r="E2103" s="4">
        <f>((-33.348357/(10/9))+-10.5)+-0.4</f>
        <v>-40.913521299999992</v>
      </c>
      <c r="F2103" s="4">
        <f>((-0.98625618*(1.3/1.5))*0.6)-0.3</f>
        <v>-0.81285321359999996</v>
      </c>
    </row>
    <row r="2104" spans="1:6" x14ac:dyDescent="0.4">
      <c r="A2104" s="4">
        <v>1839.3923500000001</v>
      </c>
      <c r="B2104" s="4">
        <v>1.1561471999999999</v>
      </c>
      <c r="C2104" s="4">
        <v>1.1992259000000001</v>
      </c>
      <c r="D2104" s="4">
        <v>-29.400805999999999</v>
      </c>
      <c r="E2104" s="4">
        <f>((-33.3291411/(10/9))+-10.5)+-0.4</f>
        <v>-40.896226989999995</v>
      </c>
      <c r="F2104" s="4">
        <f>((-0.98719913*(1.3/1.5))*0.6)-0.3</f>
        <v>-0.81334354759999994</v>
      </c>
    </row>
    <row r="2105" spans="1:6" x14ac:dyDescent="0.4">
      <c r="A2105" s="4">
        <v>1840.2672749999999</v>
      </c>
      <c r="B2105" s="4">
        <v>1.1565253</v>
      </c>
      <c r="C2105" s="4">
        <v>1.1992157999999999</v>
      </c>
      <c r="D2105" s="4">
        <v>-29.401792</v>
      </c>
      <c r="E2105" s="4">
        <f>((-33.3615924/(10/9))+-10.5)+-0.4</f>
        <v>-40.925433159999997</v>
      </c>
      <c r="F2105" s="4">
        <f>((-0.98819613*(1.3/1.5))*0.6)-0.3</f>
        <v>-0.81386198759999995</v>
      </c>
    </row>
    <row r="2106" spans="1:6" x14ac:dyDescent="0.4">
      <c r="A2106" s="4">
        <v>1841.1422</v>
      </c>
      <c r="B2106" s="4">
        <v>1.1563994</v>
      </c>
      <c r="C2106" s="4">
        <v>1.2000358</v>
      </c>
      <c r="D2106" s="4">
        <v>-29.402894</v>
      </c>
      <c r="E2106" s="4">
        <f>((-33.308532/(10/9))+-10.5)+-0.4</f>
        <v>-40.877678799999998</v>
      </c>
      <c r="F2106" s="4">
        <f>((-0.98919106*(1.3/1.5))*0.6)-0.3</f>
        <v>-0.81437935119999993</v>
      </c>
    </row>
    <row r="2107" spans="1:6" x14ac:dyDescent="0.4">
      <c r="A2107" s="4">
        <v>1842.0171250000001</v>
      </c>
      <c r="B2107" s="4">
        <v>1.1567839</v>
      </c>
      <c r="C2107" s="4">
        <v>1.2001088</v>
      </c>
      <c r="D2107" s="4">
        <v>-29.404128</v>
      </c>
      <c r="E2107" s="4">
        <f>((-33.2571294/(10/9))+-10.5)+-0.4</f>
        <v>-40.831416459999993</v>
      </c>
      <c r="F2107" s="4">
        <f>((-0.99011678*(1.3/1.5))*0.6)-0.3</f>
        <v>-0.8148607256</v>
      </c>
    </row>
    <row r="2108" spans="1:6" x14ac:dyDescent="0.4">
      <c r="A2108" s="4">
        <v>1842.8920500000002</v>
      </c>
      <c r="B2108" s="4">
        <v>1.1571902000000001</v>
      </c>
      <c r="C2108" s="4">
        <v>1.2004347</v>
      </c>
      <c r="D2108" s="4">
        <v>-29.404982999999998</v>
      </c>
      <c r="E2108" s="4">
        <f>((-33.3135819/(10/9))+-10.5)+-0.4</f>
        <v>-40.882223709999998</v>
      </c>
      <c r="F2108" s="4">
        <f>((-0.99102014*(1.3/1.5))*0.6)-0.3</f>
        <v>-0.81533047279999993</v>
      </c>
    </row>
    <row r="2109" spans="1:6" x14ac:dyDescent="0.4">
      <c r="A2109" s="4">
        <v>1843.766975</v>
      </c>
      <c r="B2109" s="4">
        <v>1.1573690999999999</v>
      </c>
      <c r="C2109" s="4">
        <v>1.2007190999999999</v>
      </c>
      <c r="D2109" s="4">
        <v>-29.406133000000001</v>
      </c>
      <c r="E2109" s="4">
        <f>((-33.3249768/(10/9))+-10.5)+-0.4</f>
        <v>-40.892479119999997</v>
      </c>
      <c r="F2109" s="4">
        <f>((-0.99195331*(1.3/1.5))*0.6)-0.3</f>
        <v>-0.8158157211999999</v>
      </c>
    </row>
    <row r="2110" spans="1:6" x14ac:dyDescent="0.4">
      <c r="A2110" s="4">
        <v>1844.6418999999999</v>
      </c>
      <c r="B2110" s="4">
        <v>1.1577221</v>
      </c>
      <c r="C2110" s="4">
        <v>1.2008270000000001</v>
      </c>
      <c r="D2110" s="4">
        <v>-29.407274999999998</v>
      </c>
      <c r="E2110" s="4">
        <f>((-33.309198/(10/9))+-10.5)+-0.4</f>
        <v>-40.878278200000004</v>
      </c>
      <c r="F2110" s="4">
        <f>((-0.99283433*(1.3/1.5))*0.6)-0.3</f>
        <v>-0.8162738516000001</v>
      </c>
    </row>
    <row r="2111" spans="1:6" x14ac:dyDescent="0.4">
      <c r="A2111" s="4">
        <v>1845.5168249999999</v>
      </c>
      <c r="B2111" s="4">
        <v>1.1576616</v>
      </c>
      <c r="C2111" s="4">
        <v>1.2009624000000001</v>
      </c>
      <c r="D2111" s="4">
        <v>-29.408414</v>
      </c>
      <c r="E2111" s="4">
        <f>((-33.2749377/(10/9))+-10.5)+-0.4</f>
        <v>-40.847443930000004</v>
      </c>
      <c r="F2111" s="4">
        <f>((-0.99371099*(1.3/1.5))*0.6)-0.3</f>
        <v>-0.8167297147999999</v>
      </c>
    </row>
    <row r="2112" spans="1:6" x14ac:dyDescent="0.4">
      <c r="A2112" s="4">
        <v>1846.39175</v>
      </c>
      <c r="B2112" s="4">
        <v>1.1580227999999999</v>
      </c>
      <c r="C2112" s="4">
        <v>1.2011769000000001</v>
      </c>
      <c r="D2112" s="4">
        <v>-29.409506999999998</v>
      </c>
      <c r="E2112" s="4">
        <f>((-33.3110142/(10/9))+-10.5)+-0.4</f>
        <v>-40.879912779999998</v>
      </c>
      <c r="F2112" s="4">
        <f>((-0.99455702*(1.3/1.5))*0.6)-0.3</f>
        <v>-0.81716965040000011</v>
      </c>
    </row>
    <row r="2113" spans="1:6" x14ac:dyDescent="0.4">
      <c r="A2113" s="4">
        <v>1847.2666750000001</v>
      </c>
      <c r="B2113" s="4">
        <v>1.1581665999999999</v>
      </c>
      <c r="C2113" s="4">
        <v>1.2015946</v>
      </c>
      <c r="D2113" s="4">
        <v>-29.41048</v>
      </c>
      <c r="E2113" s="4">
        <f>((-33.2977446/(10/9))+-10.5)+-0.4</f>
        <v>-40.867970139999997</v>
      </c>
      <c r="F2113" s="4">
        <f>((-0.99538988*(1.3/1.5))*0.6)-0.3</f>
        <v>-0.81760273759999991</v>
      </c>
    </row>
    <row r="2114" spans="1:6" x14ac:dyDescent="0.4">
      <c r="A2114" s="4">
        <v>1848.1416000000002</v>
      </c>
      <c r="B2114" s="4">
        <v>1.1583604999999999</v>
      </c>
      <c r="C2114" s="4">
        <v>1.2018361</v>
      </c>
      <c r="D2114" s="4">
        <v>-29.412140999999998</v>
      </c>
      <c r="E2114" s="4">
        <f>((-33.2729217/(10/9))+-10.5)+-0.4</f>
        <v>-40.845629529999997</v>
      </c>
      <c r="F2114" s="4">
        <f>((-0.99628973*(1.3/1.5))*0.6)-0.3</f>
        <v>-0.81807065960000003</v>
      </c>
    </row>
    <row r="2115" spans="1:6" x14ac:dyDescent="0.4">
      <c r="A2115" s="4">
        <v>1849.016525</v>
      </c>
      <c r="B2115" s="4">
        <v>1.1588069999999999</v>
      </c>
      <c r="C2115" s="4">
        <v>1.2022463000000001</v>
      </c>
      <c r="D2115" s="4">
        <v>-29.413513999999999</v>
      </c>
      <c r="E2115" s="4">
        <f>((-33.2810928/(10/9))+-10.5)+-0.4</f>
        <v>-40.852983520000002</v>
      </c>
      <c r="F2115" s="4">
        <f>((-0.99721426*(1.3/1.5))*0.6)-0.3</f>
        <v>-0.81855141519999997</v>
      </c>
    </row>
    <row r="2116" spans="1:6" x14ac:dyDescent="0.4">
      <c r="A2116" s="4">
        <v>1849.8914499999998</v>
      </c>
      <c r="B2116" s="4">
        <v>1.1590442999999999</v>
      </c>
      <c r="C2116" s="4">
        <v>1.2023197000000001</v>
      </c>
      <c r="D2116" s="4">
        <v>-29.414362999999998</v>
      </c>
      <c r="E2116" s="4">
        <f>((-33.2806194/(10/9))+-10.5)+-0.4</f>
        <v>-40.852557459999993</v>
      </c>
      <c r="F2116" s="4">
        <f>((-0.99808377*(1.3/1.5))*0.6)-0.3</f>
        <v>-0.81900356039999989</v>
      </c>
    </row>
    <row r="2117" spans="1:6" x14ac:dyDescent="0.4">
      <c r="A2117" s="4">
        <v>1850.7663749999999</v>
      </c>
      <c r="B2117" s="4">
        <v>1.1592274</v>
      </c>
      <c r="C2117" s="4">
        <v>1.2028570000000001</v>
      </c>
      <c r="D2117" s="4">
        <v>-29.415859999999999</v>
      </c>
      <c r="E2117" s="4">
        <f>((-33.2919837/(10/9))+-10.5)+-0.4</f>
        <v>-40.862785330000001</v>
      </c>
      <c r="F2117" s="4">
        <f>((-0.99895346*(1.3/1.5))*0.6)-0.3</f>
        <v>-0.8194557992</v>
      </c>
    </row>
    <row r="2118" spans="1:6" x14ac:dyDescent="0.4">
      <c r="A2118" s="4">
        <v>1851.6413</v>
      </c>
      <c r="B2118" s="4">
        <v>1.1595002000000001</v>
      </c>
      <c r="C2118" s="4">
        <v>1.2029202999999999</v>
      </c>
      <c r="D2118" s="4">
        <v>-29.417479999999998</v>
      </c>
      <c r="E2118" s="4">
        <f>((-33.2691795/(10/9))+-10.5)+-0.4</f>
        <v>-40.842261549999996</v>
      </c>
      <c r="F2118" s="4">
        <f>((-0.9997741*(1.3/1.5))*0.6)-0.3</f>
        <v>-0.81988253200000005</v>
      </c>
    </row>
    <row r="2119" spans="1:6" x14ac:dyDescent="0.4">
      <c r="A2119" s="4">
        <v>1852.5162250000001</v>
      </c>
      <c r="B2119" s="4">
        <v>1.1595899999999999</v>
      </c>
      <c r="C2119" s="4">
        <v>1.2031175000000001</v>
      </c>
      <c r="D2119" s="4">
        <v>-29.418889</v>
      </c>
      <c r="E2119" s="4">
        <f>((-33.2272701/(10/9))+-10.5)+-0.4</f>
        <v>-40.804543089999996</v>
      </c>
      <c r="F2119" s="4">
        <f>((-1.0005733*(1.3/1.5))*0.6)-0.3</f>
        <v>-0.82029811600000002</v>
      </c>
    </row>
    <row r="2120" spans="1:6" x14ac:dyDescent="0.4">
      <c r="A2120" s="4">
        <v>1853.3911499999999</v>
      </c>
      <c r="B2120" s="4">
        <v>1.1597592999999999</v>
      </c>
      <c r="C2120" s="4">
        <v>1.203263</v>
      </c>
      <c r="D2120" s="4">
        <v>-29.42024</v>
      </c>
      <c r="E2120" s="4">
        <f>((-33.2307549/(10/9))+-10.5)+-0.4</f>
        <v>-40.807679409999999</v>
      </c>
      <c r="F2120" s="4">
        <f>((-1.0013405*(1.3/1.5))*0.6)-0.3</f>
        <v>-0.82069706000000009</v>
      </c>
    </row>
    <row r="2121" spans="1:6" x14ac:dyDescent="0.4">
      <c r="A2121" s="4">
        <v>1854.266075</v>
      </c>
      <c r="B2121" s="4">
        <v>1.1602024</v>
      </c>
      <c r="C2121" s="4">
        <v>1.2033522999999999</v>
      </c>
      <c r="D2121" s="4">
        <v>-29.421643</v>
      </c>
      <c r="E2121" s="4">
        <f>((-33.238899/(10/9))+-10.5)+-0.4</f>
        <v>-40.815009100000005</v>
      </c>
      <c r="F2121" s="4">
        <f>((-1.0021181*(1.3/1.5))*0.6)-0.3</f>
        <v>-0.82110141199999997</v>
      </c>
    </row>
    <row r="2122" spans="1:6" x14ac:dyDescent="0.4">
      <c r="A2122" s="4">
        <v>1855.1410000000001</v>
      </c>
      <c r="B2122" s="4">
        <v>1.1606083</v>
      </c>
      <c r="C2122" s="4">
        <v>1.2038232</v>
      </c>
      <c r="D2122" s="4">
        <v>-29.422788000000001</v>
      </c>
      <c r="E2122" s="4">
        <f>((-33.2357571/(10/9))+-10.5)+-0.4</f>
        <v>-40.812181389999999</v>
      </c>
      <c r="F2122" s="4">
        <f>((-1.0028476*(1.3/1.5))*0.6)-0.3</f>
        <v>-0.82148075200000004</v>
      </c>
    </row>
    <row r="2123" spans="1:6" x14ac:dyDescent="0.4">
      <c r="A2123" s="4">
        <v>1856.0159250000002</v>
      </c>
      <c r="B2123" s="4">
        <v>1.1607373999999999</v>
      </c>
      <c r="C2123" s="4">
        <v>1.2041995999999999</v>
      </c>
      <c r="D2123" s="4">
        <v>-29.424287</v>
      </c>
      <c r="E2123" s="4">
        <f>((-33.2274627/(10/9))+-10.5)+-0.4</f>
        <v>-40.804716429999992</v>
      </c>
      <c r="F2123" s="4">
        <f>((-1.0035659*(1.3/1.5))*0.6)-0.3</f>
        <v>-0.82185426799999983</v>
      </c>
    </row>
    <row r="2124" spans="1:6" x14ac:dyDescent="0.4">
      <c r="A2124" s="4">
        <v>1856.89085</v>
      </c>
      <c r="B2124" s="4">
        <v>1.1609993000000001</v>
      </c>
      <c r="C2124" s="4">
        <v>1.2043699999999999</v>
      </c>
      <c r="D2124" s="4">
        <v>-29.425695000000001</v>
      </c>
      <c r="E2124" s="4">
        <f>((-33.2399565/(10/9))+-10.5)+-0.4</f>
        <v>-40.815960849999996</v>
      </c>
      <c r="F2124" s="4">
        <f>((-1.0042475*(1.3/1.5))*0.6)-0.3</f>
        <v>-0.82220870000000001</v>
      </c>
    </row>
    <row r="2125" spans="1:6" x14ac:dyDescent="0.4">
      <c r="A2125" s="4">
        <v>1857.7657749999998</v>
      </c>
      <c r="B2125" s="4">
        <v>1.1612878</v>
      </c>
      <c r="C2125" s="4">
        <v>1.2047323000000001</v>
      </c>
      <c r="D2125" s="4">
        <v>-29.427184</v>
      </c>
      <c r="E2125" s="4">
        <f>((-33.2477568/(10/9))+-10.5)+-0.4</f>
        <v>-40.822981119999994</v>
      </c>
      <c r="F2125" s="4">
        <f>((-1.0048859*(1.3/1.5))*0.6)-0.3</f>
        <v>-0.82254066800000003</v>
      </c>
    </row>
    <row r="2126" spans="1:6" x14ac:dyDescent="0.4">
      <c r="A2126" s="4">
        <v>1858.6406999999999</v>
      </c>
      <c r="B2126" s="4">
        <v>1.1615521</v>
      </c>
      <c r="C2126" s="4">
        <v>1.2050965</v>
      </c>
      <c r="D2126" s="4">
        <v>-29.428560999999998</v>
      </c>
      <c r="E2126" s="4">
        <f>((-33.2401176/(10/9))+-10.5)+-0.4</f>
        <v>-40.816105839999999</v>
      </c>
      <c r="F2126" s="4">
        <f>((-1.0055383*(1.3/1.5))*0.6)-0.3</f>
        <v>-0.82287991599999999</v>
      </c>
    </row>
    <row r="2127" spans="1:6" x14ac:dyDescent="0.4">
      <c r="A2127" s="4">
        <v>1859.515625</v>
      </c>
      <c r="B2127" s="4">
        <v>1.1615717000000001</v>
      </c>
      <c r="C2127" s="4">
        <v>1.2053356</v>
      </c>
      <c r="D2127" s="4">
        <v>-29.430119999999999</v>
      </c>
      <c r="E2127" s="4">
        <f>((-33.1974594/(10/9))+-10.5)+-0.4</f>
        <v>-40.777713459999994</v>
      </c>
      <c r="F2127" s="4">
        <f>((-1.0062068*(1.3/1.5))*0.6)-0.3</f>
        <v>-0.82322753600000009</v>
      </c>
    </row>
    <row r="2128" spans="1:6" x14ac:dyDescent="0.4">
      <c r="A2128" s="4">
        <v>1860.3905500000001</v>
      </c>
      <c r="B2128" s="4">
        <v>1.1618731</v>
      </c>
      <c r="C2128" s="4">
        <v>1.2054498</v>
      </c>
      <c r="D2128" s="4">
        <v>-29.431884</v>
      </c>
      <c r="E2128" s="4">
        <f>((-33.1610157/(10/9))+-10.5)+-0.4</f>
        <v>-40.744914129999998</v>
      </c>
      <c r="F2128" s="4">
        <f>((-1.0068235*(1.3/1.5))*0.6)-0.3</f>
        <v>-0.82354822000000016</v>
      </c>
    </row>
    <row r="2129" spans="1:6" x14ac:dyDescent="0.4">
      <c r="A2129" s="4">
        <v>1861.2654750000002</v>
      </c>
      <c r="B2129" s="4">
        <v>1.1621178000000001</v>
      </c>
      <c r="C2129" s="4">
        <v>1.2058129</v>
      </c>
      <c r="D2129" s="4">
        <v>-29.433093</v>
      </c>
      <c r="E2129" s="4">
        <f>((-33.2172144/(10/9))+-10.5)+-0.4</f>
        <v>-40.795492959999997</v>
      </c>
      <c r="F2129" s="4">
        <f>((-1.0074389*(1.3/1.5))*0.6)-0.3</f>
        <v>-0.82386822800000004</v>
      </c>
    </row>
    <row r="2130" spans="1:6" x14ac:dyDescent="0.4">
      <c r="A2130" s="4">
        <v>1862.1404</v>
      </c>
      <c r="B2130" s="4">
        <v>1.1624772999999999</v>
      </c>
      <c r="C2130" s="4">
        <v>1.2058871</v>
      </c>
      <c r="D2130" s="4">
        <v>-29.434901</v>
      </c>
      <c r="E2130" s="4">
        <f>((-33.1446186/(10/9))+-10.5)+-0.4</f>
        <v>-40.730156739999998</v>
      </c>
      <c r="F2130" s="4">
        <f>((-1.0080531*(1.3/1.5))*0.6)-0.3</f>
        <v>-0.82418761200000001</v>
      </c>
    </row>
    <row r="2131" spans="1:6" x14ac:dyDescent="0.4">
      <c r="A2131" s="4">
        <v>1863.0153249999998</v>
      </c>
      <c r="B2131" s="4">
        <v>1.1625756</v>
      </c>
      <c r="C2131" s="4">
        <v>1.2061774000000001</v>
      </c>
      <c r="D2131" s="4">
        <v>-29.436838999999999</v>
      </c>
      <c r="E2131" s="4">
        <f>((-33.1815636/(10/9))+-10.5)+-0.4</f>
        <v>-40.763407239999999</v>
      </c>
      <c r="F2131" s="4">
        <f>((-1.0086395*(1.3/1.5))*0.6)-0.3</f>
        <v>-0.82449254000000005</v>
      </c>
    </row>
    <row r="2132" spans="1:6" x14ac:dyDescent="0.4">
      <c r="A2132" s="4">
        <v>1863.8902499999999</v>
      </c>
      <c r="B2132" s="4">
        <v>1.1629077000000001</v>
      </c>
      <c r="C2132" s="4">
        <v>1.206337</v>
      </c>
      <c r="D2132" s="4">
        <v>-29.438856999999999</v>
      </c>
      <c r="E2132" s="4">
        <f>((-33.1957503/(10/9))+-10.5)+-0.4</f>
        <v>-40.776175269999996</v>
      </c>
      <c r="F2132" s="4">
        <f>((-1.00919*(1.3/1.5))*0.6)-0.3</f>
        <v>-0.82477880000000003</v>
      </c>
    </row>
    <row r="2133" spans="1:6" x14ac:dyDescent="0.4">
      <c r="A2133" s="4">
        <v>1864.765175</v>
      </c>
      <c r="B2133" s="4">
        <v>1.1630929999999999</v>
      </c>
      <c r="C2133" s="4">
        <v>1.2069291</v>
      </c>
      <c r="D2133" s="4">
        <v>-29.440636999999999</v>
      </c>
      <c r="E2133" s="4">
        <f>((-33.159042/(10/9))+-10.5)+-0.4</f>
        <v>-40.743137799999992</v>
      </c>
      <c r="F2133" s="4">
        <f>((-1.009739*(1.3/1.5))*0.6)-0.3</f>
        <v>-0.82506427999999987</v>
      </c>
    </row>
    <row r="2134" spans="1:6" x14ac:dyDescent="0.4">
      <c r="A2134" s="4">
        <v>1865.6401000000001</v>
      </c>
      <c r="B2134" s="4">
        <v>1.1632838000000001</v>
      </c>
      <c r="C2134" s="4">
        <v>1.2069643000000001</v>
      </c>
      <c r="D2134" s="4">
        <v>-29.442413999999999</v>
      </c>
      <c r="E2134" s="4">
        <f>((-33.1795422/(10/9))+-10.5)+-0.4</f>
        <v>-40.761587979999995</v>
      </c>
      <c r="F2134" s="4">
        <f>((-1.0101931*(1.3/1.5))*0.6)-0.3</f>
        <v>-0.82530041200000004</v>
      </c>
    </row>
    <row r="2135" spans="1:6" x14ac:dyDescent="0.4">
      <c r="A2135" s="4">
        <v>1866.5150249999999</v>
      </c>
      <c r="B2135" s="4">
        <v>1.1635355000000001</v>
      </c>
      <c r="C2135" s="4">
        <v>1.2071135</v>
      </c>
      <c r="D2135" s="4">
        <v>-29.444433999999998</v>
      </c>
      <c r="E2135" s="4">
        <f>((-33.18795/(10/9))+-10.5)+-0.4</f>
        <v>-40.769154999999998</v>
      </c>
      <c r="F2135" s="4">
        <f>((-1.0106965*(1.3/1.5))*0.6)-0.3</f>
        <v>-0.82556217999999992</v>
      </c>
    </row>
    <row r="2136" spans="1:6" x14ac:dyDescent="0.4">
      <c r="A2136" s="4">
        <v>1867.38995</v>
      </c>
      <c r="B2136" s="4">
        <v>1.1638918</v>
      </c>
      <c r="C2136" s="4">
        <v>1.2074704000000001</v>
      </c>
      <c r="D2136" s="4">
        <v>-29.446489</v>
      </c>
      <c r="E2136" s="4">
        <f>((-33.1581078/(10/9))+-10.5)+-0.4</f>
        <v>-40.742297020000002</v>
      </c>
      <c r="F2136" s="4">
        <f>((-1.0111308*(1.3/1.5))*0.6)-0.3</f>
        <v>-0.82578801599999996</v>
      </c>
    </row>
    <row r="2137" spans="1:6" x14ac:dyDescent="0.4">
      <c r="A2137" s="4">
        <v>1868.2648750000001</v>
      </c>
      <c r="B2137" s="4">
        <v>1.1642007999999999</v>
      </c>
      <c r="C2137" s="4">
        <v>1.2077277</v>
      </c>
      <c r="D2137" s="4">
        <v>-29.448385999999999</v>
      </c>
      <c r="E2137" s="4">
        <f>((-33.1617573/(10/9))+-10.5)+-0.4</f>
        <v>-40.745581569999992</v>
      </c>
      <c r="F2137" s="4">
        <f>((-1.0115064*(1.3/1.5))*0.6)-0.3</f>
        <v>-0.82598332799999996</v>
      </c>
    </row>
    <row r="2138" spans="1:6" x14ac:dyDescent="0.4">
      <c r="A2138" s="4">
        <v>1869.1398000000002</v>
      </c>
      <c r="B2138" s="4">
        <v>1.1645186999999999</v>
      </c>
      <c r="C2138" s="4">
        <v>1.2078966</v>
      </c>
      <c r="D2138" s="4">
        <v>-29.450574</v>
      </c>
      <c r="E2138" s="4">
        <f>((-33.1576038/(10/9))+-10.5)+-0.4</f>
        <v>-40.741843419999995</v>
      </c>
      <c r="F2138" s="4">
        <f>((-1.0118978*(1.3/1.5))*0.6)-0.3</f>
        <v>-0.82618685600000008</v>
      </c>
    </row>
    <row r="2139" spans="1:6" x14ac:dyDescent="0.4">
      <c r="A2139" s="4">
        <v>1870.014725</v>
      </c>
      <c r="B2139" s="4">
        <v>1.1645110000000001</v>
      </c>
      <c r="C2139" s="4">
        <v>1.2079854000000001</v>
      </c>
      <c r="D2139" s="4">
        <v>-29.452638</v>
      </c>
      <c r="E2139" s="4">
        <f>((-33.1376391/(10/9))+-10.5)+-0.4</f>
        <v>-40.723875189999994</v>
      </c>
      <c r="F2139" s="4">
        <f>((-1.0122238*(1.3/1.5))*0.6)-0.3</f>
        <v>-0.82635637599999989</v>
      </c>
    </row>
    <row r="2140" spans="1:6" x14ac:dyDescent="0.4">
      <c r="A2140" s="4">
        <v>1870.8896499999998</v>
      </c>
      <c r="B2140" s="4">
        <v>1.1647828</v>
      </c>
      <c r="C2140" s="4">
        <v>1.208364</v>
      </c>
      <c r="D2140" s="4">
        <v>-29.454957</v>
      </c>
      <c r="E2140" s="4">
        <f>((-33.1641027/(10/9))+-10.5)+-0.4</f>
        <v>-40.747692429999994</v>
      </c>
      <c r="F2140" s="4">
        <f>((-1.0125489*(1.3/1.5))*0.6)-0.3</f>
        <v>-0.82652542800000006</v>
      </c>
    </row>
    <row r="2141" spans="1:6" x14ac:dyDescent="0.4">
      <c r="A2141" s="4">
        <v>1871.7645749999999</v>
      </c>
      <c r="B2141" s="4">
        <v>1.1650883999999999</v>
      </c>
      <c r="C2141" s="4">
        <v>1.208793</v>
      </c>
      <c r="D2141" s="4">
        <v>-29.457070999999999</v>
      </c>
      <c r="E2141" s="4">
        <f>((-33.1362729/(10/9))+-10.5)+-0.4</f>
        <v>-40.722645609999994</v>
      </c>
      <c r="F2141" s="4">
        <f>((-1.0128825*(1.3/1.5))*0.6)-0.3</f>
        <v>-0.82669890000000001</v>
      </c>
    </row>
    <row r="2142" spans="1:6" x14ac:dyDescent="0.4">
      <c r="A2142" s="4">
        <v>1872.6395</v>
      </c>
      <c r="B2142" s="4">
        <v>1.1653477000000001</v>
      </c>
      <c r="C2142" s="4">
        <v>1.2087927000000001</v>
      </c>
      <c r="D2142" s="4">
        <v>-29.459267999999998</v>
      </c>
      <c r="E2142" s="4">
        <f>((-33.1569513/(10/9))+-10.5)+-0.4</f>
        <v>-40.74125617</v>
      </c>
      <c r="F2142" s="4">
        <f>((-1.0131466*(1.3/1.5))*0.6)-0.3</f>
        <v>-0.826836232</v>
      </c>
    </row>
    <row r="2143" spans="1:6" x14ac:dyDescent="0.4">
      <c r="A2143" s="4">
        <v>1873.5144250000001</v>
      </c>
      <c r="B2143" s="4">
        <v>1.1653103</v>
      </c>
      <c r="C2143" s="4">
        <v>1.2091700999999999</v>
      </c>
      <c r="D2143" s="4">
        <v>-29.461819999999999</v>
      </c>
      <c r="E2143" s="4">
        <f>((-33.1503561/(10/9))+-10.5)+-0.4</f>
        <v>-40.735320489999999</v>
      </c>
      <c r="F2143" s="4">
        <f>((-1.0133169*(1.3/1.5))*0.6)-0.3</f>
        <v>-0.82692478799999991</v>
      </c>
    </row>
    <row r="2144" spans="1:6" x14ac:dyDescent="0.4">
      <c r="A2144" s="4">
        <v>1874.3893500000001</v>
      </c>
      <c r="B2144" s="4">
        <v>1.1658238999999999</v>
      </c>
      <c r="C2144" s="4">
        <v>1.2094362999999999</v>
      </c>
      <c r="D2144" s="4">
        <v>-29.464289999999998</v>
      </c>
      <c r="E2144" s="4">
        <f>((-33.1250499/(10/9))+-10.5)+-0.4</f>
        <v>-40.712544909999998</v>
      </c>
      <c r="F2144" s="4">
        <f>((-1.0135326*(1.3/1.5))*0.6)-0.3</f>
        <v>-0.82703695200000005</v>
      </c>
    </row>
    <row r="2145" spans="1:6" x14ac:dyDescent="0.4">
      <c r="A2145" s="4">
        <v>1875.264275</v>
      </c>
      <c r="B2145" s="4">
        <v>1.1659484</v>
      </c>
      <c r="C2145" s="4">
        <v>1.2095239</v>
      </c>
      <c r="D2145" s="4">
        <v>-29.466518000000001</v>
      </c>
      <c r="E2145" s="4">
        <f>((-33.1654311/(10/9))+-10.5)+-0.4</f>
        <v>-40.748887989999993</v>
      </c>
      <c r="F2145" s="4">
        <f>((-1.0138186*(1.3/1.5))*0.6)-0.3</f>
        <v>-0.82718567199999993</v>
      </c>
    </row>
    <row r="2146" spans="1:6" x14ac:dyDescent="0.4">
      <c r="A2146" s="4">
        <v>1876.1391999999998</v>
      </c>
      <c r="B2146" s="4">
        <v>1.1661060999999999</v>
      </c>
      <c r="C2146" s="4">
        <v>1.209803</v>
      </c>
      <c r="D2146" s="4">
        <v>-29.468778</v>
      </c>
      <c r="E2146" s="4">
        <f>((-33.1212528/(10/9))+-10.5)+-0.4</f>
        <v>-40.709127520000003</v>
      </c>
      <c r="F2146" s="4">
        <f>((-1.0139834*(1.3/1.5))*0.6)-0.3</f>
        <v>-0.82727136800000012</v>
      </c>
    </row>
    <row r="2147" spans="1:6" x14ac:dyDescent="0.4">
      <c r="A2147" s="4">
        <v>1877.0141249999999</v>
      </c>
      <c r="B2147" s="4">
        <v>1.1665117</v>
      </c>
      <c r="C2147" s="4">
        <v>1.2102412</v>
      </c>
      <c r="D2147" s="4">
        <v>-29.471323999999999</v>
      </c>
      <c r="E2147" s="4">
        <f>((-33.1336395/(10/9))+-10.5)+-0.4</f>
        <v>-40.720275549999997</v>
      </c>
      <c r="F2147" s="4">
        <f>((-1.0141644*(1.3/1.5))*0.6)-0.3</f>
        <v>-0.82736548800000009</v>
      </c>
    </row>
    <row r="2148" spans="1:6" x14ac:dyDescent="0.4">
      <c r="A2148" s="4">
        <v>1877.88905</v>
      </c>
      <c r="B2148" s="4">
        <v>1.1669111000000001</v>
      </c>
      <c r="C2148" s="4">
        <v>1.2103060000000001</v>
      </c>
      <c r="D2148" s="4">
        <v>-29.474111000000001</v>
      </c>
      <c r="E2148" s="4">
        <f>((-33.1141527/(10/9))+-10.5)+-0.4</f>
        <v>-40.702737429999992</v>
      </c>
      <c r="F2148" s="4">
        <f>((-1.01431*(1.3/1.5))*0.6)-0.3</f>
        <v>-0.82744119999999999</v>
      </c>
    </row>
    <row r="2149" spans="1:6" x14ac:dyDescent="0.4">
      <c r="A2149" s="4">
        <v>1878.7639750000001</v>
      </c>
      <c r="B2149" s="4">
        <v>1.167001</v>
      </c>
      <c r="C2149" s="4">
        <v>1.2105935999999999</v>
      </c>
      <c r="D2149" s="4">
        <v>-29.476793000000001</v>
      </c>
      <c r="E2149" s="4">
        <f>((-33.1191414/(10/9))+-10.5)+-0.4</f>
        <v>-40.707227259999989</v>
      </c>
      <c r="F2149" s="4">
        <f>((-1.014459*(1.3/1.5))*0.6)-0.3</f>
        <v>-0.82751868000000006</v>
      </c>
    </row>
    <row r="2150" spans="1:6" x14ac:dyDescent="0.4">
      <c r="A2150" s="4">
        <v>1879.6388999999999</v>
      </c>
      <c r="B2150" s="4">
        <v>1.1673283999999999</v>
      </c>
      <c r="C2150" s="4">
        <v>1.2106680999999999</v>
      </c>
      <c r="D2150" s="4">
        <v>-29.479516</v>
      </c>
      <c r="E2150" s="4">
        <f>((-33.0729471/(10/9))+-10.5)+-0.4</f>
        <v>-40.665652389999998</v>
      </c>
      <c r="F2150" s="4">
        <f>((-1.0146091*(1.3/1.5))*0.6)-0.3</f>
        <v>-0.82759673199999995</v>
      </c>
    </row>
    <row r="2151" spans="1:6" x14ac:dyDescent="0.4">
      <c r="A2151" s="4">
        <v>1880.513825</v>
      </c>
      <c r="B2151" s="4">
        <v>1.1674309</v>
      </c>
      <c r="C2151" s="4">
        <v>1.2109224000000001</v>
      </c>
      <c r="D2151" s="4">
        <v>-29.482313999999999</v>
      </c>
      <c r="E2151" s="4">
        <f>((-33.0891039/(10/9))+-10.5)+-0.4</f>
        <v>-40.680193509999995</v>
      </c>
      <c r="F2151" s="4">
        <f>((-1.0147803*(1.3/1.5))*0.6)-0.3</f>
        <v>-0.82768575599999994</v>
      </c>
    </row>
    <row r="2152" spans="1:6" x14ac:dyDescent="0.4">
      <c r="A2152" s="4">
        <v>1881.3887500000001</v>
      </c>
      <c r="B2152" s="4">
        <v>1.1677337000000001</v>
      </c>
      <c r="C2152" s="4">
        <v>1.2111048</v>
      </c>
      <c r="D2152" s="4">
        <v>-29.485119999999998</v>
      </c>
      <c r="E2152" s="4">
        <f>((-33.0921837/(10/9))+-10.5)+-0.4</f>
        <v>-40.682965329999995</v>
      </c>
      <c r="F2152" s="4">
        <f>((-1.0149364*(1.3/1.5))*0.6)-0.3</f>
        <v>-0.82776692799999996</v>
      </c>
    </row>
    <row r="2153" spans="1:6" x14ac:dyDescent="0.4">
      <c r="A2153" s="4">
        <v>1882.2636750000001</v>
      </c>
      <c r="B2153" s="4">
        <v>1.1680585999999999</v>
      </c>
      <c r="C2153" s="4">
        <v>1.2115016000000001</v>
      </c>
      <c r="D2153" s="4">
        <v>-29.487655</v>
      </c>
      <c r="E2153" s="4">
        <f>((-33.1070355/(10/9))+-10.5)+-0.4</f>
        <v>-40.696331949999994</v>
      </c>
      <c r="F2153" s="4">
        <f>((-1.0151014*(1.3/1.5))*0.6)-0.3</f>
        <v>-0.82785272800000009</v>
      </c>
    </row>
    <row r="2154" spans="1:6" x14ac:dyDescent="0.4">
      <c r="A2154" s="4">
        <v>1883.1386</v>
      </c>
      <c r="B2154" s="4">
        <v>1.1681682</v>
      </c>
      <c r="C2154" s="4">
        <v>1.2117958</v>
      </c>
      <c r="D2154" s="4">
        <v>-29.490203000000001</v>
      </c>
      <c r="E2154" s="4">
        <f>((-33.0869547/(10/9))+-10.5)+-0.4</f>
        <v>-40.678259230000002</v>
      </c>
      <c r="F2154" s="4">
        <f>((-1.0151961*(1.3/1.5))*0.6)-0.3</f>
        <v>-0.82790197200000004</v>
      </c>
    </row>
    <row r="2155" spans="1:6" x14ac:dyDescent="0.4">
      <c r="A2155" s="4">
        <v>1884.0135249999998</v>
      </c>
      <c r="B2155" s="4">
        <v>1.1684378</v>
      </c>
      <c r="C2155" s="4">
        <v>1.2121090999999999</v>
      </c>
      <c r="D2155" s="4">
        <v>-29.492705999999998</v>
      </c>
      <c r="E2155" s="4">
        <f>((-33.0658299/(10/9))+-10.5)+-0.4</f>
        <v>-40.659246909999993</v>
      </c>
      <c r="F2155" s="4">
        <f>((-1.0153177*(1.3/1.5))*0.6)-0.3</f>
        <v>-0.82796520400000007</v>
      </c>
    </row>
    <row r="2156" spans="1:6" x14ac:dyDescent="0.4">
      <c r="A2156" s="4">
        <v>1884.8884499999999</v>
      </c>
      <c r="B2156" s="4">
        <v>1.168803</v>
      </c>
      <c r="C2156" s="4">
        <v>1.2122113999999999</v>
      </c>
      <c r="D2156" s="4">
        <v>-29.495533999999999</v>
      </c>
      <c r="E2156" s="4">
        <f>((-33.0581088/(10/9))+-10.5)+-0.4</f>
        <v>-40.652297919999995</v>
      </c>
      <c r="F2156" s="4">
        <f>((-1.0154191*(1.3/1.5))*0.6)-0.3</f>
        <v>-0.82801793199999985</v>
      </c>
    </row>
    <row r="2157" spans="1:6" x14ac:dyDescent="0.4">
      <c r="A2157" s="4">
        <v>1885.763375</v>
      </c>
      <c r="B2157" s="4">
        <v>1.1689802</v>
      </c>
      <c r="C2157" s="4">
        <v>1.2123854999999999</v>
      </c>
      <c r="D2157" s="4">
        <v>-29.497980999999999</v>
      </c>
      <c r="E2157" s="4">
        <f>((-33.0505587/(10/9))+-10.5)+-0.4</f>
        <v>-40.645502830000005</v>
      </c>
      <c r="F2157" s="4">
        <f>((-1.0154753*(1.3/1.5))*0.6)-0.3</f>
        <v>-0.82804715600000001</v>
      </c>
    </row>
    <row r="2158" spans="1:6" x14ac:dyDescent="0.4">
      <c r="A2158" s="4">
        <v>1886.6383000000001</v>
      </c>
      <c r="B2158" s="4">
        <v>1.1689788000000001</v>
      </c>
      <c r="C2158" s="4">
        <v>1.2124942999999999</v>
      </c>
      <c r="D2158" s="4">
        <v>-29.500658999999999</v>
      </c>
      <c r="E2158" s="4">
        <f>((-33.0492816/(10/9))+-10.5)+-0.4</f>
        <v>-40.644353439999996</v>
      </c>
      <c r="F2158" s="4">
        <f>((-1.0155449*(1.3/1.5))*0.6)-0.3</f>
        <v>-0.82808334800000005</v>
      </c>
    </row>
    <row r="2159" spans="1:6" x14ac:dyDescent="0.4">
      <c r="A2159" s="4">
        <v>1887.5132250000001</v>
      </c>
      <c r="B2159" s="4">
        <v>1.1692225000000001</v>
      </c>
      <c r="C2159" s="4">
        <v>1.2127943000000001</v>
      </c>
      <c r="D2159" s="4">
        <v>-29.503698</v>
      </c>
      <c r="E2159" s="4">
        <f>((-33.0804351/(10/9))+-10.5)+-0.4</f>
        <v>-40.672391589999997</v>
      </c>
      <c r="F2159" s="4">
        <f>((-1.0156643*(1.3/1.5))*0.6)-0.3</f>
        <v>-0.82814543600000001</v>
      </c>
    </row>
    <row r="2160" spans="1:6" x14ac:dyDescent="0.4">
      <c r="A2160" s="4">
        <v>1888.38815</v>
      </c>
      <c r="B2160" s="4">
        <v>1.1695405999999999</v>
      </c>
      <c r="C2160" s="4">
        <v>1.2129558</v>
      </c>
      <c r="D2160" s="4">
        <v>-29.506453999999998</v>
      </c>
      <c r="E2160" s="4">
        <f>((-33.0410898/(10/9))+-10.5)+-0.4</f>
        <v>-40.636980819999998</v>
      </c>
      <c r="F2160" s="4">
        <f>((-1.0158097*(1.3/1.5))*0.6)-0.3</f>
        <v>-0.82822104399999996</v>
      </c>
    </row>
    <row r="2161" spans="1:6" x14ac:dyDescent="0.4">
      <c r="A2161" s="4">
        <v>1889.2630749999998</v>
      </c>
      <c r="B2161" s="4">
        <v>1.1697396</v>
      </c>
      <c r="C2161" s="4">
        <v>1.2133138999999999</v>
      </c>
      <c r="D2161" s="4">
        <v>-29.509302999999999</v>
      </c>
      <c r="E2161" s="4">
        <f>((-33.0414543/(10/9))+-10.5)+-0.4</f>
        <v>-40.637308869999991</v>
      </c>
      <c r="F2161" s="4">
        <f>((-1.015924*(1.3/1.5))*0.6)-0.3</f>
        <v>-0.8282804800000001</v>
      </c>
    </row>
    <row r="2162" spans="1:6" x14ac:dyDescent="0.4">
      <c r="A2162" s="4">
        <v>1890.1379999999999</v>
      </c>
      <c r="B2162" s="4">
        <v>1.1700915000000001</v>
      </c>
      <c r="C2162" s="4">
        <v>1.2136134999999999</v>
      </c>
      <c r="D2162" s="4">
        <v>-29.512204000000001</v>
      </c>
      <c r="E2162" s="4">
        <f>((-33.0176754/(10/9))+-10.5)+-0.4</f>
        <v>-40.61590786</v>
      </c>
      <c r="F2162" s="4">
        <f>((-1.0159935*(1.3/1.5))*0.6)-0.3</f>
        <v>-0.82831662000000006</v>
      </c>
    </row>
    <row r="2163" spans="1:6" x14ac:dyDescent="0.4">
      <c r="A2163" s="4">
        <v>1891.012925</v>
      </c>
      <c r="B2163" s="4">
        <v>1.1700993</v>
      </c>
      <c r="C2163" s="4">
        <v>1.2135471</v>
      </c>
      <c r="D2163" s="4">
        <v>-29.515124999999998</v>
      </c>
      <c r="E2163" s="4">
        <f>((-33.0200136/(10/9))+-10.5)+-0.4</f>
        <v>-40.618012239999992</v>
      </c>
      <c r="F2163" s="4">
        <f>((-1.0160918*(1.3/1.5))*0.6)-0.3</f>
        <v>-0.82836773600000013</v>
      </c>
    </row>
    <row r="2164" spans="1:6" x14ac:dyDescent="0.4">
      <c r="A2164" s="4">
        <v>1891.8878500000001</v>
      </c>
      <c r="B2164" s="4">
        <v>1.170512</v>
      </c>
      <c r="C2164" s="4">
        <v>1.2137537</v>
      </c>
      <c r="D2164" s="4">
        <v>-29.517996999999998</v>
      </c>
      <c r="E2164" s="4">
        <f>((-33.0142797/(10/9))+-10.5)+-0.4</f>
        <v>-40.612851729999996</v>
      </c>
      <c r="F2164" s="4">
        <f>((-1.016184*(1.3/1.5))*0.6)-0.3</f>
        <v>-0.82841567999999999</v>
      </c>
    </row>
    <row r="2165" spans="1:6" x14ac:dyDescent="0.4">
      <c r="A2165" s="4">
        <v>1892.7627749999999</v>
      </c>
      <c r="B2165" s="4">
        <v>1.1707555999999999</v>
      </c>
      <c r="C2165" s="4">
        <v>1.2139808000000001</v>
      </c>
      <c r="D2165" s="4">
        <v>-29.520697999999999</v>
      </c>
      <c r="E2165" s="4">
        <f>((-33.0090309/(10/9))+-10.5)+-0.4</f>
        <v>-40.608127809999992</v>
      </c>
      <c r="F2165" s="4">
        <f>((-1.0162233*(1.3/1.5))*0.6)-0.3</f>
        <v>-0.828436116</v>
      </c>
    </row>
    <row r="2166" spans="1:6" x14ac:dyDescent="0.4">
      <c r="A2166" s="4">
        <v>1893.6377</v>
      </c>
      <c r="B2166" s="4">
        <v>1.1710423999999999</v>
      </c>
      <c r="C2166" s="4">
        <v>1.2141158999999999</v>
      </c>
      <c r="D2166" s="4">
        <v>-29.523357000000001</v>
      </c>
      <c r="E2166" s="4">
        <f>((-33.0310377/(10/9))+-10.5)+-0.4</f>
        <v>-40.627933929999998</v>
      </c>
      <c r="F2166" s="4">
        <f>((-1.0162618*(1.3/1.5))*0.6)-0.3</f>
        <v>-0.82845613600000001</v>
      </c>
    </row>
    <row r="2167" spans="1:6" x14ac:dyDescent="0.4">
      <c r="A2167" s="4">
        <v>1894.5126250000001</v>
      </c>
      <c r="B2167" s="4">
        <v>1.1710404999999999</v>
      </c>
      <c r="C2167" s="4">
        <v>1.2144279</v>
      </c>
      <c r="D2167" s="4">
        <v>-29.526333999999999</v>
      </c>
      <c r="E2167" s="4">
        <f>((-33.0126318/(10/9))+-10.5)+-0.4</f>
        <v>-40.61136862</v>
      </c>
      <c r="F2167" s="4">
        <f>((-1.016314*(1.3/1.5))*0.6)-0.3</f>
        <v>-0.82848327999999993</v>
      </c>
    </row>
    <row r="2168" spans="1:6" x14ac:dyDescent="0.4">
      <c r="A2168" s="4">
        <v>1895.3875500000001</v>
      </c>
      <c r="B2168" s="4">
        <v>1.1712178</v>
      </c>
      <c r="C2168" s="4">
        <v>1.2146862</v>
      </c>
      <c r="D2168" s="4">
        <v>-29.529048</v>
      </c>
      <c r="E2168" s="4">
        <f>((-32.9836725/(10/9))+-10.5)+-0.4</f>
        <v>-40.585305249999998</v>
      </c>
      <c r="F2168" s="4">
        <f>((-1.0163729*(1.3/1.5))*0.6)-0.3</f>
        <v>-0.82851390799999991</v>
      </c>
    </row>
    <row r="2169" spans="1:6" x14ac:dyDescent="0.4">
      <c r="A2169" s="4">
        <v>1896.262475</v>
      </c>
      <c r="B2169" s="4">
        <v>1.1716306999999999</v>
      </c>
      <c r="C2169" s="4">
        <v>1.2148840000000001</v>
      </c>
      <c r="D2169" s="4">
        <v>-29.532347999999999</v>
      </c>
      <c r="E2169" s="4">
        <f>((-32.9769027/(10/9))+-10.5)+-0.4</f>
        <v>-40.579212429999991</v>
      </c>
      <c r="F2169" s="4">
        <f>((-1.0164675*(1.3/1.5))*0.6)-0.3</f>
        <v>-0.8285631</v>
      </c>
    </row>
    <row r="2170" spans="1:6" x14ac:dyDescent="0.4">
      <c r="A2170" s="4">
        <v>1897.1373999999998</v>
      </c>
      <c r="B2170" s="4">
        <v>1.171586</v>
      </c>
      <c r="C2170" s="4">
        <v>1.2148907</v>
      </c>
      <c r="D2170" s="4">
        <v>-29.535156999999998</v>
      </c>
      <c r="E2170" s="4">
        <f>((-32.9808402/(10/9))+-10.5)+-0.4</f>
        <v>-40.582756179999997</v>
      </c>
      <c r="F2170" s="4">
        <f>((-1.0165021*(1.3/1.5))*0.6)-0.3</f>
        <v>-0.82858109200000007</v>
      </c>
    </row>
    <row r="2171" spans="1:6" x14ac:dyDescent="0.4">
      <c r="A2171" s="4">
        <v>1898.0123249999999</v>
      </c>
      <c r="B2171" s="4">
        <v>1.1718469</v>
      </c>
      <c r="C2171" s="4">
        <v>1.2149059</v>
      </c>
      <c r="D2171" s="4">
        <v>-29.537628999999999</v>
      </c>
      <c r="E2171" s="4">
        <f>((-32.9709114/(10/9))+-10.5)+-0.4</f>
        <v>-40.573820259999998</v>
      </c>
      <c r="F2171" s="4">
        <f>((-1.0165882*(1.3/1.5))*0.6)-0.3</f>
        <v>-0.82862586399999993</v>
      </c>
    </row>
    <row r="2172" spans="1:6" x14ac:dyDescent="0.4">
      <c r="A2172" s="4">
        <v>1898.88725</v>
      </c>
      <c r="B2172" s="4">
        <v>1.1721021</v>
      </c>
      <c r="C2172" s="4">
        <v>1.2151814000000001</v>
      </c>
      <c r="D2172" s="4">
        <v>-29.540219</v>
      </c>
      <c r="E2172" s="4">
        <f>((-32.9562855/(10/9))+-10.5)+-0.4</f>
        <v>-40.560656950000002</v>
      </c>
      <c r="F2172" s="4">
        <f>((-1.0166519*(1.3/1.5))*0.6)-0.3</f>
        <v>-0.82865898799999993</v>
      </c>
    </row>
    <row r="2173" spans="1:6" x14ac:dyDescent="0.4">
      <c r="A2173" s="4">
        <v>1899.7621750000001</v>
      </c>
      <c r="B2173" s="4">
        <v>1.1721984999999999</v>
      </c>
      <c r="C2173" s="4">
        <v>1.2157309999999999</v>
      </c>
      <c r="D2173" s="4">
        <v>-29.543091999999998</v>
      </c>
      <c r="E2173" s="4">
        <f>((-32.9384952/(10/9))+-10.5)+-0.4</f>
        <v>-40.544645679999995</v>
      </c>
      <c r="F2173" s="4">
        <f>((-1.0167891*(1.3/1.5))*0.6)-0.3</f>
        <v>-0.8287303319999999</v>
      </c>
    </row>
    <row r="2174" spans="1:6" x14ac:dyDescent="0.4">
      <c r="A2174" s="4">
        <v>1900.6371000000001</v>
      </c>
      <c r="B2174" s="4">
        <v>1.1725478</v>
      </c>
      <c r="C2174" s="4">
        <v>1.2158313000000001</v>
      </c>
      <c r="D2174" s="4">
        <v>-29.545742999999998</v>
      </c>
      <c r="E2174" s="4">
        <f>((-33.0152031/(10/9))+-10.5)+-0.4</f>
        <v>-40.613682789999999</v>
      </c>
      <c r="F2174" s="4">
        <f>((-1.0168462*(1.3/1.5))*0.6)-0.3</f>
        <v>-0.82876002399999993</v>
      </c>
    </row>
    <row r="2175" spans="1:6" x14ac:dyDescent="0.4">
      <c r="A2175" s="4">
        <v>1901.512025</v>
      </c>
      <c r="B2175" s="4">
        <v>1.1727593000000001</v>
      </c>
      <c r="C2175" s="4">
        <v>1.2158610000000001</v>
      </c>
      <c r="D2175" s="4">
        <v>-29.548555</v>
      </c>
      <c r="E2175" s="4">
        <f>((-32.9876658/(10/9))+-10.5)+-0.4</f>
        <v>-40.588899219999995</v>
      </c>
      <c r="F2175" s="4">
        <f>((-1.0169325*(1.3/1.5))*0.6)-0.3</f>
        <v>-0.82880489999999996</v>
      </c>
    </row>
    <row r="2176" spans="1:6" x14ac:dyDescent="0.4">
      <c r="A2176" s="4">
        <v>1902.3869499999998</v>
      </c>
      <c r="B2176" s="4">
        <v>1.1729181</v>
      </c>
      <c r="C2176" s="4">
        <v>1.2162535000000001</v>
      </c>
      <c r="D2176" s="4">
        <v>-29.551738</v>
      </c>
      <c r="E2176" s="4">
        <f>((-32.9905359/(10/9))+-10.5)+-0.4</f>
        <v>-40.591482309999996</v>
      </c>
      <c r="F2176" s="4">
        <f>((-1.0170884*(1.3/1.5))*0.6)-0.3</f>
        <v>-0.82888596800000003</v>
      </c>
    </row>
    <row r="2177" spans="1:6" x14ac:dyDescent="0.4">
      <c r="A2177" s="4">
        <v>1903.2618749999999</v>
      </c>
      <c r="B2177" s="4">
        <v>1.1731157000000001</v>
      </c>
      <c r="C2177" s="4">
        <v>1.2162161</v>
      </c>
      <c r="D2177" s="4">
        <v>-29.554624</v>
      </c>
      <c r="E2177" s="4">
        <f>((-32.9636601/(10/9))+-10.5)+-0.4</f>
        <v>-40.567294089999997</v>
      </c>
      <c r="F2177" s="4">
        <f>((-1.0172868*(1.3/1.5))*0.6)-0.3</f>
        <v>-0.8289891359999999</v>
      </c>
    </row>
    <row r="2178" spans="1:6" x14ac:dyDescent="0.4">
      <c r="A2178" s="4">
        <v>1904.1368</v>
      </c>
      <c r="B2178" s="4">
        <v>1.1734405999999999</v>
      </c>
      <c r="C2178" s="4">
        <v>1.2165933</v>
      </c>
      <c r="D2178" s="4">
        <v>-29.557458</v>
      </c>
      <c r="E2178" s="4">
        <f>((-32.9525091/(10/9))+-10.5)+-0.4</f>
        <v>-40.557258189999999</v>
      </c>
      <c r="F2178" s="4">
        <f>((-1.0175252*(1.3/1.5))*0.6)-0.3</f>
        <v>-0.82911310399999993</v>
      </c>
    </row>
    <row r="2179" spans="1:6" x14ac:dyDescent="0.4">
      <c r="A2179" s="4">
        <v>1905.0117250000001</v>
      </c>
      <c r="B2179" s="4">
        <v>1.1737036000000001</v>
      </c>
      <c r="C2179" s="4">
        <v>1.2169236999999999</v>
      </c>
      <c r="D2179" s="4">
        <v>-29.560328999999999</v>
      </c>
      <c r="E2179" s="4">
        <f>((-32.9161311/(10/9))+-10.5)+-0.4</f>
        <v>-40.52451799</v>
      </c>
      <c r="F2179" s="4">
        <f>((-1.0177777*(1.3/1.5))*0.6)-0.3</f>
        <v>-0.82924440399999999</v>
      </c>
    </row>
    <row r="2180" spans="1:6" x14ac:dyDescent="0.4">
      <c r="A2180" s="4">
        <v>1905.8866499999999</v>
      </c>
      <c r="B2180" s="4">
        <v>1.1740028</v>
      </c>
      <c r="C2180" s="4">
        <v>1.2171388000000001</v>
      </c>
      <c r="D2180" s="4">
        <v>-29.562738</v>
      </c>
      <c r="E2180" s="4">
        <f>((-32.990769/(10/9))+-10.5)+-0.4</f>
        <v>-40.591692099999996</v>
      </c>
      <c r="F2180" s="4">
        <f>((-1.0179967*(1.3/1.5))*0.6)-0.3</f>
        <v>-0.829358284</v>
      </c>
    </row>
    <row r="2181" spans="1:6" x14ac:dyDescent="0.4">
      <c r="A2181" s="4">
        <v>1906.761575</v>
      </c>
      <c r="B2181" s="4">
        <v>1.173997</v>
      </c>
      <c r="C2181" s="4">
        <v>1.2171955000000001</v>
      </c>
      <c r="D2181" s="4">
        <v>-29.565552999999998</v>
      </c>
      <c r="E2181" s="4">
        <f>((-32.9211675/(10/9))+-10.5)+-0.4</f>
        <v>-40.529050750000003</v>
      </c>
      <c r="F2181" s="4">
        <f>((-1.0182157*(1.3/1.5))*0.6)-0.3</f>
        <v>-0.82947216400000001</v>
      </c>
    </row>
    <row r="2182" spans="1:6" x14ac:dyDescent="0.4">
      <c r="A2182" s="4">
        <v>1907.6365000000001</v>
      </c>
      <c r="B2182" s="4">
        <v>1.1741686</v>
      </c>
      <c r="C2182" s="4">
        <v>1.2173350000000001</v>
      </c>
      <c r="D2182" s="4">
        <v>-29.568400999999998</v>
      </c>
      <c r="E2182" s="4">
        <f>((-32.8901067/(10/9))+-10.5)+-0.4</f>
        <v>-40.501096029999992</v>
      </c>
      <c r="F2182" s="4">
        <f>((-1.0185236*(1.3/1.5))*0.6)-0.3</f>
        <v>-0.829632272</v>
      </c>
    </row>
    <row r="2183" spans="1:6" x14ac:dyDescent="0.4">
      <c r="A2183" s="4">
        <v>1908.5114250000001</v>
      </c>
      <c r="B2183" s="4">
        <v>1.1742063</v>
      </c>
      <c r="C2183" s="4">
        <v>1.2175940999999999</v>
      </c>
      <c r="D2183" s="4">
        <v>-29.571044000000001</v>
      </c>
      <c r="E2183" s="4">
        <f>((-32.9205393/(10/9))+-10.5)+-0.4</f>
        <v>-40.528485369999999</v>
      </c>
      <c r="F2183" s="4">
        <f>((-1.0189077*(1.3/1.5))*0.6)-0.3</f>
        <v>-0.82983200400000001</v>
      </c>
    </row>
    <row r="2184" spans="1:6" x14ac:dyDescent="0.4">
      <c r="A2184" s="4">
        <v>1909.38635</v>
      </c>
      <c r="B2184" s="4">
        <v>1.1746509999999999</v>
      </c>
      <c r="C2184" s="4">
        <v>1.2179707</v>
      </c>
      <c r="D2184" s="4">
        <v>-29.573432</v>
      </c>
      <c r="E2184" s="4">
        <f>((-32.8858947/(10/9))+-10.5)+-0.4</f>
        <v>-40.497305230000002</v>
      </c>
      <c r="F2184" s="4">
        <f>((-1.0192513*(1.3/1.5))*0.6)-0.3</f>
        <v>-0.83001067600000011</v>
      </c>
    </row>
    <row r="2185" spans="1:6" x14ac:dyDescent="0.4">
      <c r="A2185" s="4">
        <v>1910.2612749999998</v>
      </c>
      <c r="B2185" s="4">
        <v>1.1749736</v>
      </c>
      <c r="C2185" s="4">
        <v>1.2180318000000001</v>
      </c>
      <c r="D2185" s="4">
        <v>-29.576118000000001</v>
      </c>
      <c r="E2185" s="4">
        <f>((-32.9249025/(10/9))+-10.5)+-0.4</f>
        <v>-40.53241225</v>
      </c>
      <c r="F2185" s="4">
        <f>((-1.0196351*(1.3/1.5))*0.6)-0.3</f>
        <v>-0.83021025199999987</v>
      </c>
    </row>
    <row r="2186" spans="1:6" x14ac:dyDescent="0.4">
      <c r="A2186" s="4">
        <v>1911.1361999999999</v>
      </c>
      <c r="B2186" s="4">
        <v>1.1751513</v>
      </c>
      <c r="C2186" s="4">
        <v>1.2181348000000001</v>
      </c>
      <c r="D2186" s="4">
        <v>-29.578457999999998</v>
      </c>
      <c r="E2186" s="4">
        <f>((-32.8932144/(10/9))+-10.5)+-0.4</f>
        <v>-40.503892959999995</v>
      </c>
      <c r="F2186" s="4">
        <f>((-1.0199754*(1.3/1.5))*0.6)-0.3</f>
        <v>-0.8303872080000001</v>
      </c>
    </row>
    <row r="2187" spans="1:6" x14ac:dyDescent="0.4">
      <c r="A2187" s="4">
        <v>1912.011125</v>
      </c>
      <c r="B2187" s="4">
        <v>1.1751027000000001</v>
      </c>
      <c r="C2187" s="4">
        <v>1.2181310999999999</v>
      </c>
      <c r="D2187" s="4">
        <v>-29.580756000000001</v>
      </c>
      <c r="E2187" s="4">
        <f>((-32.9178888/(10/9))+-10.5)+-0.4</f>
        <v>-40.52609992</v>
      </c>
      <c r="F2187" s="4">
        <f>((-1.0203202*(1.3/1.5))*0.6)-0.3</f>
        <v>-0.83056650400000009</v>
      </c>
    </row>
    <row r="2188" spans="1:6" x14ac:dyDescent="0.4">
      <c r="A2188" s="4">
        <v>1912.8860500000001</v>
      </c>
      <c r="B2188" s="4">
        <v>1.1753963000000001</v>
      </c>
      <c r="C2188" s="4">
        <v>1.2183980999999999</v>
      </c>
      <c r="D2188" s="4">
        <v>-29.582763</v>
      </c>
      <c r="E2188" s="4">
        <f>((-32.8924656/(10/9))+-10.5)+-0.4</f>
        <v>-40.503219039999998</v>
      </c>
      <c r="F2188" s="4">
        <f>((-1.0207132*(1.3/1.5))*0.6)-0.3</f>
        <v>-0.830770864</v>
      </c>
    </row>
    <row r="2189" spans="1:6" x14ac:dyDescent="0.4">
      <c r="A2189" s="4">
        <v>1913.7609750000001</v>
      </c>
      <c r="B2189" s="4">
        <v>1.1755362</v>
      </c>
      <c r="C2189" s="4">
        <v>1.2187604000000001</v>
      </c>
      <c r="D2189" s="4">
        <v>-29.585252000000001</v>
      </c>
      <c r="E2189" s="4">
        <f>((-32.8801302/(10/9))+-10.5)+-0.4</f>
        <v>-40.492117180000001</v>
      </c>
      <c r="F2189" s="4">
        <f>((-1.0211014*(1.3/1.5))*0.6)-0.3</f>
        <v>-0.8309727280000001</v>
      </c>
    </row>
    <row r="2190" spans="1:6" x14ac:dyDescent="0.4">
      <c r="A2190" s="4">
        <v>1914.6359</v>
      </c>
      <c r="B2190" s="4">
        <v>1.1759245</v>
      </c>
      <c r="C2190" s="4">
        <v>1.2188246</v>
      </c>
      <c r="D2190" s="4">
        <v>-29.587561999999998</v>
      </c>
      <c r="E2190" s="4">
        <f>((-32.9099544/(10/9))+-10.5)+-0.4</f>
        <v>-40.518958959999999</v>
      </c>
      <c r="F2190" s="4">
        <f>((-1.0215101*(1.3/1.5))*0.6)-0.3</f>
        <v>-0.83118525200000004</v>
      </c>
    </row>
    <row r="2191" spans="1:6" x14ac:dyDescent="0.4">
      <c r="A2191" s="4">
        <v>1915.5108249999998</v>
      </c>
      <c r="B2191" s="4">
        <v>1.1759822</v>
      </c>
      <c r="C2191" s="4">
        <v>1.2188348</v>
      </c>
      <c r="D2191" s="4">
        <v>-29.589897999999998</v>
      </c>
      <c r="E2191" s="4">
        <f>((-32.9070942/(10/9))+-10.5)+-0.4</f>
        <v>-40.516384780000003</v>
      </c>
      <c r="F2191" s="4">
        <f>((-1.0219128*(1.3/1.5))*0.6)-0.3</f>
        <v>-0.83139465599999984</v>
      </c>
    </row>
    <row r="2192" spans="1:6" x14ac:dyDescent="0.4">
      <c r="A2192" s="4">
        <v>1916.3857499999999</v>
      </c>
      <c r="B2192" s="4">
        <v>1.17618</v>
      </c>
      <c r="C2192" s="4">
        <v>1.2191141999999999</v>
      </c>
      <c r="D2192" s="4">
        <v>-29.592089999999999</v>
      </c>
      <c r="E2192" s="4">
        <f>((-32.9157981/(10/9))+-10.5)+-0.4</f>
        <v>-40.52421829</v>
      </c>
      <c r="F2192" s="4">
        <f>((-1.0223478*(1.3/1.5))*0.6)-0.3</f>
        <v>-0.83162085600000002</v>
      </c>
    </row>
    <row r="2193" spans="1:6" x14ac:dyDescent="0.4">
      <c r="A2193" s="4">
        <v>1917.260675</v>
      </c>
      <c r="B2193" s="4">
        <v>1.1762573999999999</v>
      </c>
      <c r="C2193" s="4">
        <v>1.2193147</v>
      </c>
      <c r="D2193" s="4">
        <v>-29.594477999999999</v>
      </c>
      <c r="E2193" s="4">
        <f>((-32.8667265/(10/9))+-10.5)+-0.4</f>
        <v>-40.480053849999997</v>
      </c>
      <c r="F2193" s="4">
        <f>((-1.0227789*(1.3/1.5))*0.6)-0.3</f>
        <v>-0.83184502800000004</v>
      </c>
    </row>
    <row r="2194" spans="1:6" x14ac:dyDescent="0.4">
      <c r="A2194" s="4">
        <v>1918.1356000000001</v>
      </c>
      <c r="B2194" s="4">
        <v>1.1764401</v>
      </c>
      <c r="C2194" s="4">
        <v>1.2197138000000001</v>
      </c>
      <c r="D2194" s="4">
        <v>-29.596893999999999</v>
      </c>
      <c r="E2194" s="4">
        <f>((-32.8563756/(10/9))+-10.5)+-0.4</f>
        <v>-40.470738039999993</v>
      </c>
      <c r="F2194" s="4">
        <f>((-1.0232711*(1.3/1.5))*0.6)-0.3</f>
        <v>-0.83210097200000011</v>
      </c>
    </row>
    <row r="2195" spans="1:6" x14ac:dyDescent="0.4">
      <c r="A2195" s="4">
        <v>1919.0105249999999</v>
      </c>
      <c r="B2195" s="4">
        <v>1.1765289000000001</v>
      </c>
      <c r="C2195" s="4">
        <v>1.2196168000000001</v>
      </c>
      <c r="D2195" s="4">
        <v>-29.599152999999998</v>
      </c>
      <c r="E2195" s="4">
        <f>((-32.8645602/(10/9))+-10.5)+-0.4</f>
        <v>-40.478104179999995</v>
      </c>
      <c r="F2195" s="4">
        <f>((-1.0238174*(1.3/1.5))*0.6)-0.3</f>
        <v>-0.83238504799999991</v>
      </c>
    </row>
    <row r="2196" spans="1:6" x14ac:dyDescent="0.4">
      <c r="A2196" s="4">
        <v>1919.88545</v>
      </c>
      <c r="B2196" s="4">
        <v>1.1768786</v>
      </c>
      <c r="C2196" s="4">
        <v>1.2200031</v>
      </c>
      <c r="D2196" s="4">
        <v>-29.601613</v>
      </c>
      <c r="E2196" s="4">
        <f>((-32.9148468/(10/9))+-10.5)+-0.4</f>
        <v>-40.523362119999994</v>
      </c>
      <c r="F2196" s="4">
        <f>((-1.0242453*(1.3/1.5))*0.6)-0.3</f>
        <v>-0.83260755599999992</v>
      </c>
    </row>
    <row r="2197" spans="1:6" x14ac:dyDescent="0.4">
      <c r="A2197" s="4">
        <v>1920.7603750000001</v>
      </c>
      <c r="B2197" s="4">
        <v>1.1771978000000001</v>
      </c>
      <c r="C2197" s="4">
        <v>1.2201228</v>
      </c>
      <c r="D2197" s="4">
        <v>-29.603963</v>
      </c>
      <c r="E2197" s="4">
        <f>((-32.8548411/(10/9))+-10.5)+-0.4</f>
        <v>-40.469356990000001</v>
      </c>
      <c r="F2197" s="4">
        <f>((-1.0246254*(1.3/1.5))*0.6)-0.3</f>
        <v>-0.83280520799999991</v>
      </c>
    </row>
    <row r="2198" spans="1:6" x14ac:dyDescent="0.4">
      <c r="A2198" s="4">
        <v>1921.6353000000001</v>
      </c>
      <c r="B2198" s="4">
        <v>1.1772989</v>
      </c>
      <c r="C2198" s="4">
        <v>1.2204645999999999</v>
      </c>
      <c r="D2198" s="4">
        <v>-29.606117999999999</v>
      </c>
      <c r="E2198" s="4">
        <f>((-32.8259637/(10/9))+-10.5)+-0.4</f>
        <v>-40.443367330000001</v>
      </c>
      <c r="F2198" s="4">
        <f>((-1.0251058*(1.3/1.5))*0.6)-0.3</f>
        <v>-0.83305501599999987</v>
      </c>
    </row>
    <row r="2199" spans="1:6" x14ac:dyDescent="0.4">
      <c r="A2199" s="4">
        <v>1922.510225</v>
      </c>
      <c r="B2199" s="4">
        <v>1.1773712999999999</v>
      </c>
      <c r="C2199" s="4">
        <v>1.2207235000000001</v>
      </c>
      <c r="D2199" s="4">
        <v>-29.608466</v>
      </c>
      <c r="E2199" s="4">
        <f>((-32.8350141/(10/9))+-10.5)+-0.4</f>
        <v>-40.451512689999994</v>
      </c>
      <c r="F2199" s="4">
        <f>((-1.0255593*(1.3/1.5))*0.6)-0.3</f>
        <v>-0.83329083599999998</v>
      </c>
    </row>
    <row r="2200" spans="1:6" x14ac:dyDescent="0.4">
      <c r="A2200" s="4">
        <v>1923.3851499999998</v>
      </c>
      <c r="B2200" s="4">
        <v>1.1777724000000001</v>
      </c>
      <c r="C2200" s="4">
        <v>1.2208821999999999</v>
      </c>
      <c r="D2200" s="4">
        <v>-29.610681</v>
      </c>
      <c r="E2200" s="4">
        <f>((-32.8457052/(10/9))+-10.5)+-0.4</f>
        <v>-40.461134679999994</v>
      </c>
      <c r="F2200" s="4">
        <f>((-1.0260571*(1.3/1.5))*0.6)-0.3</f>
        <v>-0.83354969200000006</v>
      </c>
    </row>
    <row r="2201" spans="1:6" x14ac:dyDescent="0.4">
      <c r="A2201" s="4">
        <v>1924.2600749999999</v>
      </c>
      <c r="B2201" s="4">
        <v>1.1778153</v>
      </c>
      <c r="C2201" s="4">
        <v>1.2207821999999999</v>
      </c>
      <c r="D2201" s="4">
        <v>-29.613076</v>
      </c>
      <c r="E2201" s="4">
        <f>((-32.8230702/(10/9))+-10.5)+-0.4</f>
        <v>-40.440763179999998</v>
      </c>
      <c r="F2201" s="4">
        <f>((-1.0265601*(1.3/1.5))*0.6)-0.3</f>
        <v>-0.83381125200000006</v>
      </c>
    </row>
    <row r="2202" spans="1:6" x14ac:dyDescent="0.4">
      <c r="A2202" s="4">
        <v>1925.135</v>
      </c>
      <c r="B2202" s="4">
        <v>1.1779999999999999</v>
      </c>
      <c r="C2202" s="4">
        <v>1.2211422000000001</v>
      </c>
      <c r="D2202" s="4">
        <v>-29.615413</v>
      </c>
      <c r="E2202" s="4">
        <f>((-32.8460175/(10/9))+-10.5)+-0.4</f>
        <v>-40.46141575</v>
      </c>
      <c r="F2202" s="4">
        <f>((-1.0271088*(1.3/1.5))*0.6)-0.3</f>
        <v>-0.83409657599999987</v>
      </c>
    </row>
    <row r="2203" spans="1:6" x14ac:dyDescent="0.4">
      <c r="A2203" s="4">
        <v>1926.0099250000001</v>
      </c>
      <c r="B2203" s="4">
        <v>1.1783258999999999</v>
      </c>
      <c r="C2203" s="4">
        <v>1.2211426000000001</v>
      </c>
      <c r="D2203" s="4">
        <v>-29.617737999999999</v>
      </c>
      <c r="E2203" s="4">
        <f>((-32.8073526/(10/9))+-10.5)+-0.4</f>
        <v>-40.42661734</v>
      </c>
      <c r="F2203" s="4">
        <f>((-1.0275906*(1.3/1.5))*0.6)-0.3</f>
        <v>-0.83434711199999989</v>
      </c>
    </row>
    <row r="2204" spans="1:6" x14ac:dyDescent="0.4">
      <c r="A2204" s="4">
        <v>1926.8848500000001</v>
      </c>
      <c r="B2204" s="4">
        <v>1.1783602</v>
      </c>
      <c r="C2204" s="4">
        <v>1.2213092000000001</v>
      </c>
      <c r="D2204" s="4">
        <v>-29.620077999999999</v>
      </c>
      <c r="E2204" s="4">
        <f>((-32.8402053/(10/9))+-10.5)+-0.4</f>
        <v>-40.45618477</v>
      </c>
      <c r="F2204" s="4">
        <f>((-1.0281798*(1.3/1.5))*0.6)-0.3</f>
        <v>-0.83465349600000005</v>
      </c>
    </row>
    <row r="2205" spans="1:6" x14ac:dyDescent="0.4">
      <c r="A2205" s="4">
        <v>1927.759775</v>
      </c>
      <c r="B2205" s="4">
        <v>1.1787188</v>
      </c>
      <c r="C2205" s="4">
        <v>1.2216450999999999</v>
      </c>
      <c r="D2205" s="4">
        <v>-29.622509999999998</v>
      </c>
      <c r="E2205" s="4">
        <f>((-32.819832/(10/9))+-10.5)+-0.4</f>
        <v>-40.43784879999999</v>
      </c>
      <c r="F2205" s="4">
        <f>((-1.028789*(1.3/1.5))*0.6)-0.3</f>
        <v>-0.83497028000000006</v>
      </c>
    </row>
    <row r="2206" spans="1:6" x14ac:dyDescent="0.4">
      <c r="A2206" s="4">
        <v>1928.6347000000001</v>
      </c>
      <c r="B2206" s="4">
        <v>1.1788529999999999</v>
      </c>
      <c r="C2206" s="4">
        <v>1.2220048999999999</v>
      </c>
      <c r="D2206" s="4">
        <v>-29.624862</v>
      </c>
      <c r="E2206" s="4">
        <f>((-32.8611267/(10/9))+-10.5)+-0.4</f>
        <v>-40.475014029999997</v>
      </c>
      <c r="F2206" s="4">
        <f>((-1.0294317*(1.3/1.5))*0.6)-0.3</f>
        <v>-0.8353044839999999</v>
      </c>
    </row>
    <row r="2207" spans="1:6" x14ac:dyDescent="0.4">
      <c r="A2207" s="4">
        <v>1929.5096249999999</v>
      </c>
      <c r="B2207" s="4">
        <v>1.1789274000000001</v>
      </c>
      <c r="C2207" s="4">
        <v>1.2221226000000001</v>
      </c>
      <c r="D2207" s="4">
        <v>-29.62716</v>
      </c>
      <c r="E2207" s="4">
        <f>((-32.8237155/(10/9))+-10.5)+-0.4</f>
        <v>-40.441343949999997</v>
      </c>
      <c r="F2207" s="4">
        <f>((-1.0300463*(1.3/1.5))*0.6)-0.3</f>
        <v>-0.83562407599999999</v>
      </c>
    </row>
    <row r="2208" spans="1:6" x14ac:dyDescent="0.4">
      <c r="A2208" s="4">
        <v>1930.38455</v>
      </c>
      <c r="B2208" s="4">
        <v>1.1790816</v>
      </c>
      <c r="C2208" s="4">
        <v>1.2222093000000001</v>
      </c>
      <c r="D2208" s="4">
        <v>-29.629460999999999</v>
      </c>
      <c r="E2208" s="4">
        <f>((-32.8347153/(10/9))+-10.5)+-0.4</f>
        <v>-40.451243769999998</v>
      </c>
      <c r="F2208" s="4">
        <f>((-1.0306346*(1.3/1.5))*0.6)-0.3</f>
        <v>-0.83592999200000007</v>
      </c>
    </row>
    <row r="2209" spans="1:6" x14ac:dyDescent="0.4">
      <c r="A2209" s="4">
        <v>1931.2594750000001</v>
      </c>
      <c r="B2209" s="4">
        <v>1.1792119999999999</v>
      </c>
      <c r="C2209" s="4">
        <v>1.2225264</v>
      </c>
      <c r="D2209" s="4">
        <v>-29.631442</v>
      </c>
      <c r="E2209" s="4">
        <f>((-32.8430853/(10/9))+-10.5)+-0.4</f>
        <v>-40.458776769999993</v>
      </c>
      <c r="F2209" s="4">
        <f>((-1.0311786*(1.3/1.5))*0.6)-0.3</f>
        <v>-0.83621287199999994</v>
      </c>
    </row>
    <row r="2210" spans="1:6" x14ac:dyDescent="0.4">
      <c r="A2210" s="4">
        <v>1932.1343999999999</v>
      </c>
      <c r="B2210" s="4">
        <v>1.179305</v>
      </c>
      <c r="C2210" s="4">
        <v>1.2224219000000001</v>
      </c>
      <c r="D2210" s="4">
        <v>-29.633610999999998</v>
      </c>
      <c r="E2210" s="4">
        <f>((-32.8320378/(10/9))+-10.5)+-0.4</f>
        <v>-40.44883402</v>
      </c>
      <c r="F2210" s="4">
        <f>((-1.0317099*(1.3/1.5))*0.6)-0.3</f>
        <v>-0.83648914800000007</v>
      </c>
    </row>
    <row r="2211" spans="1:6" x14ac:dyDescent="0.4">
      <c r="A2211" s="4">
        <v>1933.009325</v>
      </c>
      <c r="B2211" s="4">
        <v>1.1795116999999999</v>
      </c>
      <c r="C2211" s="4">
        <v>1.2226809000000001</v>
      </c>
      <c r="D2211" s="4">
        <v>-29.636160999999998</v>
      </c>
      <c r="E2211" s="4">
        <f>((-32.8095396/(10/9))+-10.5)+-0.4</f>
        <v>-40.428585640000001</v>
      </c>
      <c r="F2211" s="4">
        <f>((-1.0322366*(1.3/1.5))*0.6)-0.3</f>
        <v>-0.83676303199999991</v>
      </c>
    </row>
    <row r="2212" spans="1:6" x14ac:dyDescent="0.4">
      <c r="A2212" s="4">
        <v>1933.8842500000001</v>
      </c>
      <c r="B2212" s="4">
        <v>1.1798523999999999</v>
      </c>
      <c r="C2212" s="4">
        <v>1.2230217000000001</v>
      </c>
      <c r="D2212" s="4">
        <v>-29.638493999999998</v>
      </c>
      <c r="E2212" s="4">
        <f>((-32.8357692/(10/9))+-10.5)+-0.4</f>
        <v>-40.452192279999998</v>
      </c>
      <c r="F2212" s="4">
        <f>((-1.0328554*(1.3/1.5))*0.6)-0.3</f>
        <v>-0.83708480799999996</v>
      </c>
    </row>
    <row r="2213" spans="1:6" x14ac:dyDescent="0.4">
      <c r="A2213" s="4">
        <v>1934.7591750000001</v>
      </c>
      <c r="B2213" s="4">
        <v>1.1799116000000001</v>
      </c>
      <c r="C2213" s="4">
        <v>1.223058</v>
      </c>
      <c r="D2213" s="4">
        <v>-29.640532999999998</v>
      </c>
      <c r="E2213" s="4">
        <f>((-32.8263138/(10/9))+-10.5)+-0.4</f>
        <v>-40.443682419999995</v>
      </c>
      <c r="F2213" s="4">
        <f>((-1.0333856*(1.3/1.5))*0.6)-0.3</f>
        <v>-0.83736051199999983</v>
      </c>
    </row>
    <row r="2214" spans="1:6" x14ac:dyDescent="0.4">
      <c r="A2214" s="4">
        <v>1935.6341</v>
      </c>
      <c r="B2214" s="4">
        <v>1.1801478999999999</v>
      </c>
      <c r="C2214" s="4">
        <v>1.2232426000000001</v>
      </c>
      <c r="D2214" s="4">
        <v>-29.642426999999998</v>
      </c>
      <c r="E2214" s="4">
        <f>((-32.8076613/(10/9))+-10.5)+-0.4</f>
        <v>-40.426895170000002</v>
      </c>
      <c r="F2214" s="4">
        <f>((-1.0339702*(1.3/1.5))*0.6)-0.3</f>
        <v>-0.83766450399999992</v>
      </c>
    </row>
    <row r="2215" spans="1:6" x14ac:dyDescent="0.4">
      <c r="A2215" s="4">
        <v>1936.5090249999998</v>
      </c>
      <c r="B2215" s="4">
        <v>1.1803774</v>
      </c>
      <c r="C2215" s="4">
        <v>1.2233761999999999</v>
      </c>
      <c r="D2215" s="4">
        <v>-29.644417999999998</v>
      </c>
      <c r="E2215" s="4">
        <f>((-32.8004928/(10/9))+-10.5)+-0.4</f>
        <v>-40.420443519999999</v>
      </c>
      <c r="F2215" s="4">
        <f>((-1.0345832*(1.3/1.5))*0.6)-0.3</f>
        <v>-0.83798326400000001</v>
      </c>
    </row>
    <row r="2216" spans="1:6" x14ac:dyDescent="0.4">
      <c r="A2216" s="4">
        <v>1937.3839499999999</v>
      </c>
      <c r="B2216" s="4">
        <v>1.1799896000000001</v>
      </c>
      <c r="C2216" s="4">
        <v>1.2235692</v>
      </c>
      <c r="D2216" s="4">
        <v>-29.646464999999999</v>
      </c>
      <c r="E2216" s="4">
        <f>((-32.770071/(10/9))+-10.5)+-0.4</f>
        <v>-40.393063899999994</v>
      </c>
      <c r="F2216" s="4">
        <f>((-1.0351877*(1.3/1.5))*0.6)-0.3</f>
        <v>-0.83829760400000009</v>
      </c>
    </row>
    <row r="2217" spans="1:6" x14ac:dyDescent="0.4">
      <c r="A2217" s="4">
        <v>1938.258875</v>
      </c>
      <c r="B2217" s="4">
        <v>1.1805766</v>
      </c>
      <c r="C2217" s="4">
        <v>1.2237393999999999</v>
      </c>
      <c r="D2217" s="4">
        <v>-29.648298</v>
      </c>
      <c r="E2217" s="4">
        <f>((-32.7904785/(10/9))+-10.5)+-0.4</f>
        <v>-40.411430649999993</v>
      </c>
      <c r="F2217" s="4">
        <f>((-1.0357229*(1.3/1.5))*0.6)-0.3</f>
        <v>-0.83857590799999993</v>
      </c>
    </row>
    <row r="2218" spans="1:6" x14ac:dyDescent="0.4">
      <c r="A2218" s="4">
        <v>1939.1338000000001</v>
      </c>
      <c r="B2218" s="4">
        <v>1.1808835</v>
      </c>
      <c r="C2218" s="4">
        <v>1.2240591999999999</v>
      </c>
      <c r="D2218" s="4">
        <v>-29.650528999999999</v>
      </c>
      <c r="E2218" s="4">
        <f>((-32.768145/(10/9))+-10.5)+-0.4</f>
        <v>-40.391330499999995</v>
      </c>
      <c r="F2218" s="4">
        <f>((-1.0361801*(1.3/1.5))*0.6)-0.3</f>
        <v>-0.83881365200000002</v>
      </c>
    </row>
    <row r="2219" spans="1:6" x14ac:dyDescent="0.4">
      <c r="A2219" s="4">
        <v>1940.0087250000001</v>
      </c>
      <c r="B2219" s="4">
        <v>1.1809323</v>
      </c>
      <c r="C2219" s="4">
        <v>1.224094</v>
      </c>
      <c r="D2219" s="4">
        <v>-29.652657999999999</v>
      </c>
      <c r="E2219" s="4">
        <f>((-32.7963114/(10/9))+-10.5)+-0.4</f>
        <v>-40.41668026</v>
      </c>
      <c r="F2219" s="4">
        <f>((-1.0367155*(1.3/1.5))*0.6)-0.3</f>
        <v>-0.83909206000000003</v>
      </c>
    </row>
    <row r="2220" spans="1:6" x14ac:dyDescent="0.4">
      <c r="A2220" s="4">
        <v>1940.88365</v>
      </c>
      <c r="B2220" s="4">
        <v>1.1811198999999999</v>
      </c>
      <c r="C2220" s="4">
        <v>1.2242268000000001</v>
      </c>
      <c r="D2220" s="4">
        <v>-29.654644999999999</v>
      </c>
      <c r="E2220" s="4">
        <f>((-32.7787704/(10/9))+-10.5)+-0.4</f>
        <v>-40.400893359999998</v>
      </c>
      <c r="F2220" s="4">
        <f>((-1.0372984*(1.3/1.5))*0.6)-0.3</f>
        <v>-0.83939516800000002</v>
      </c>
    </row>
    <row r="2221" spans="1:6" x14ac:dyDescent="0.4">
      <c r="A2221" s="4">
        <v>1941.7585750000001</v>
      </c>
      <c r="B2221" s="4">
        <v>1.1811619</v>
      </c>
      <c r="C2221" s="4">
        <v>1.2243269999999999</v>
      </c>
      <c r="D2221" s="4">
        <v>-29.657028999999998</v>
      </c>
      <c r="E2221" s="4">
        <f>((-32.7866121/(10/9))+-10.5)+-0.4</f>
        <v>-40.407950889999995</v>
      </c>
      <c r="F2221" s="4">
        <f>((-1.0379097*(1.3/1.5))*0.6)-0.3</f>
        <v>-0.83971304400000002</v>
      </c>
    </row>
    <row r="2222" spans="1:6" x14ac:dyDescent="0.4">
      <c r="A2222" s="4">
        <v>1942.6334999999999</v>
      </c>
      <c r="B2222" s="4">
        <v>1.1814294000000001</v>
      </c>
      <c r="C2222" s="4">
        <v>1.2244314999999999</v>
      </c>
      <c r="D2222" s="4">
        <v>-29.659032</v>
      </c>
      <c r="E2222" s="4">
        <f>((-32.7348909/(10/9))+-10.5)+-0.4</f>
        <v>-40.361401809999997</v>
      </c>
      <c r="F2222" s="4">
        <f>((-1.038476*(1.3/1.5))*0.6)-0.3</f>
        <v>-0.8400075199999999</v>
      </c>
    </row>
    <row r="2223" spans="1:6" x14ac:dyDescent="0.4">
      <c r="A2223" s="4">
        <v>1943.508425</v>
      </c>
      <c r="B2223" s="4">
        <v>1.1813167</v>
      </c>
      <c r="C2223" s="4">
        <v>1.2247169</v>
      </c>
      <c r="D2223" s="4">
        <v>-29.661185</v>
      </c>
      <c r="E2223" s="4">
        <f>((-32.7471471/(10/9))+-10.5)+-0.4</f>
        <v>-40.372432389999993</v>
      </c>
      <c r="F2223" s="4">
        <f>((-1.038992*(1.3/1.5))*0.6)-0.3</f>
        <v>-0.84027583999999989</v>
      </c>
    </row>
    <row r="2224" spans="1:6" x14ac:dyDescent="0.4">
      <c r="A2224" s="4">
        <v>1944.3833500000001</v>
      </c>
      <c r="B2224" s="4">
        <v>1.1816367000000001</v>
      </c>
      <c r="C2224" s="4">
        <v>1.2248505000000001</v>
      </c>
      <c r="D2224" s="4">
        <v>-29.663633999999998</v>
      </c>
      <c r="E2224" s="4">
        <f>((-32.7952782/(10/9))+-10.5)+-0.4</f>
        <v>-40.415750379999999</v>
      </c>
      <c r="F2224" s="4">
        <f>((-1.0394537*(1.3/1.5))*0.6)-0.3</f>
        <v>-0.84051592399999997</v>
      </c>
    </row>
    <row r="2225" spans="1:6" x14ac:dyDescent="0.4">
      <c r="A2225" s="4">
        <v>1945.2582749999999</v>
      </c>
      <c r="B2225" s="4">
        <v>1.1819066</v>
      </c>
      <c r="C2225" s="4">
        <v>1.2249984</v>
      </c>
      <c r="D2225" s="4">
        <v>-29.665659999999999</v>
      </c>
      <c r="E2225" s="4">
        <f>((-32.7965445/(10/9))+-10.5)+-0.4</f>
        <v>-40.416890049999999</v>
      </c>
      <c r="F2225" s="4">
        <f>((-1.0398041*(1.3/1.5))*0.6)-0.3</f>
        <v>-0.84069813199999999</v>
      </c>
    </row>
    <row r="2226" spans="1:6" x14ac:dyDescent="0.4">
      <c r="A2226" s="4">
        <v>1946.1332</v>
      </c>
      <c r="B2226" s="4">
        <v>1.182148</v>
      </c>
      <c r="C2226" s="4">
        <v>1.2250903</v>
      </c>
      <c r="D2226" s="4">
        <v>-29.667787000000001</v>
      </c>
      <c r="E2226" s="4">
        <f>((-32.7489048/(10/9))+-10.5)+-0.4</f>
        <v>-40.374014319999993</v>
      </c>
      <c r="F2226" s="4">
        <f>((-1.0401701*(1.3/1.5))*0.6)-0.3</f>
        <v>-0.84088845199999995</v>
      </c>
    </row>
    <row r="2227" spans="1:6" x14ac:dyDescent="0.4">
      <c r="A2227" s="4">
        <v>1947.0081250000001</v>
      </c>
      <c r="B2227" s="4">
        <v>1.1822648</v>
      </c>
      <c r="C2227" s="4">
        <v>1.2254065000000001</v>
      </c>
      <c r="D2227" s="4">
        <v>-29.669806999999999</v>
      </c>
      <c r="E2227" s="4">
        <f>((-32.7303486/(10/9))+-10.5)+-0.4</f>
        <v>-40.357313739999995</v>
      </c>
      <c r="F2227" s="4">
        <f>((-1.0406077*(1.3/1.5))*0.6)-0.3</f>
        <v>-0.84111600400000008</v>
      </c>
    </row>
    <row r="2228" spans="1:6" x14ac:dyDescent="0.4">
      <c r="A2228" s="4">
        <v>1947.8830500000001</v>
      </c>
      <c r="B2228" s="4">
        <v>1.1825353000000001</v>
      </c>
      <c r="C2228" s="4">
        <v>1.2255795</v>
      </c>
      <c r="D2228" s="4">
        <v>-29.671827999999998</v>
      </c>
      <c r="E2228" s="4">
        <f>((-32.7706551/(10/9))+-10.5)+-0.4</f>
        <v>-40.393589589999998</v>
      </c>
      <c r="F2228" s="4">
        <f>((-1.0410134*(1.3/1.5))*0.6)-0.3</f>
        <v>-0.84132696799999995</v>
      </c>
    </row>
    <row r="2229" spans="1:6" x14ac:dyDescent="0.4">
      <c r="A2229" s="4">
        <v>1948.757975</v>
      </c>
      <c r="B2229" s="4">
        <v>1.1827563000000001</v>
      </c>
      <c r="C2229" s="4">
        <v>1.2256874</v>
      </c>
      <c r="D2229" s="4">
        <v>-29.673897999999998</v>
      </c>
      <c r="E2229" s="4">
        <f>((-32.7866877/(10/9))+-10.5)+-0.4</f>
        <v>-40.408018929999997</v>
      </c>
      <c r="F2229" s="4">
        <f>((-1.0414243*(1.3/1.5))*0.6)-0.3</f>
        <v>-0.84154063599999995</v>
      </c>
    </row>
    <row r="2230" spans="1:6" x14ac:dyDescent="0.4">
      <c r="A2230" s="4">
        <v>1949.6328999999998</v>
      </c>
      <c r="B2230" s="4">
        <v>1.1828597999999999</v>
      </c>
      <c r="C2230" s="4">
        <v>1.2258328000000001</v>
      </c>
      <c r="D2230" s="4">
        <v>-29.675857000000001</v>
      </c>
      <c r="E2230" s="4">
        <f>((-32.75811/(10/9))+-10.5)+-0.4</f>
        <v>-40.382298999999996</v>
      </c>
      <c r="F2230" s="4">
        <f>((-1.0417799*(1.3/1.5))*0.6)-0.3</f>
        <v>-0.8417255480000001</v>
      </c>
    </row>
    <row r="2231" spans="1:6" x14ac:dyDescent="0.4">
      <c r="A2231" s="4">
        <v>1950.5078249999999</v>
      </c>
      <c r="B2231" s="4">
        <v>1.1830277</v>
      </c>
      <c r="C2231" s="4">
        <v>1.2259865000000001</v>
      </c>
      <c r="D2231" s="4">
        <v>-29.677743</v>
      </c>
      <c r="E2231" s="4">
        <f>((-32.688837/(10/9))+-10.5)+-0.4</f>
        <v>-40.319953300000002</v>
      </c>
      <c r="F2231" s="4">
        <f>((-1.0420918*(1.3/1.5))*0.6)-0.3</f>
        <v>-0.84188773599999989</v>
      </c>
    </row>
    <row r="2232" spans="1:6" x14ac:dyDescent="0.4">
      <c r="A2232" s="4">
        <v>1951.38275</v>
      </c>
      <c r="B2232" s="4">
        <v>1.1832098</v>
      </c>
      <c r="C2232" s="4">
        <v>1.226227</v>
      </c>
      <c r="D2232" s="4">
        <v>-29.679711999999999</v>
      </c>
      <c r="E2232" s="4">
        <f>((-32.7080529/(10/9))+-10.5)+-0.4</f>
        <v>-40.337247609999999</v>
      </c>
      <c r="F2232" s="4">
        <f>((-1.0423619*(1.3/1.5))*0.6)-0.3</f>
        <v>-0.84202818800000001</v>
      </c>
    </row>
    <row r="2233" spans="1:6" x14ac:dyDescent="0.4">
      <c r="A2233" s="4">
        <v>1952.2576750000001</v>
      </c>
      <c r="B2233" s="4">
        <v>1.1834290999999999</v>
      </c>
      <c r="C2233" s="4">
        <v>1.226437</v>
      </c>
      <c r="D2233" s="4">
        <v>-29.681971999999998</v>
      </c>
      <c r="E2233" s="4">
        <f>((-32.7170241/(10/9))+-10.5)+-0.4</f>
        <v>-40.345321689999999</v>
      </c>
      <c r="F2233" s="4">
        <f>((-1.0426815*(1.3/1.5))*0.6)-0.3</f>
        <v>-0.84219438000000002</v>
      </c>
    </row>
    <row r="2234" spans="1:6" x14ac:dyDescent="0.4">
      <c r="A2234" s="4">
        <v>1953.1326000000001</v>
      </c>
      <c r="B2234" s="4">
        <v>1.1835340000000001</v>
      </c>
      <c r="C2234" s="4">
        <v>1.2265694</v>
      </c>
      <c r="D2234" s="4">
        <v>-29.684124999999998</v>
      </c>
      <c r="E2234" s="4">
        <f>((-32.7318588/(10/9))+-10.5)+-0.4</f>
        <v>-40.358672919999997</v>
      </c>
      <c r="F2234" s="4">
        <f>((-1.0430462*(1.3/1.5))*0.6)-0.3</f>
        <v>-0.84238402400000001</v>
      </c>
    </row>
    <row r="2235" spans="1:6" x14ac:dyDescent="0.4">
      <c r="A2235" s="4">
        <v>1954.007525</v>
      </c>
      <c r="B2235" s="4">
        <v>1.1836954</v>
      </c>
      <c r="C2235" s="4">
        <v>1.2266722999999999</v>
      </c>
      <c r="D2235" s="4">
        <v>-29.686119999999999</v>
      </c>
      <c r="E2235" s="4">
        <f>((-32.7095703/(10/9))+-10.5)+-0.4</f>
        <v>-40.338613270000003</v>
      </c>
      <c r="F2235" s="4">
        <f>((-1.0433079*(1.3/1.5))*0.6)-0.3</f>
        <v>-0.84252010799999999</v>
      </c>
    </row>
    <row r="2236" spans="1:6" x14ac:dyDescent="0.4">
      <c r="A2236" s="4">
        <v>1954.8824500000001</v>
      </c>
      <c r="B2236" s="4">
        <v>1.1837549000000001</v>
      </c>
      <c r="C2236" s="4">
        <v>1.2269952</v>
      </c>
      <c r="D2236" s="4">
        <v>-29.687991</v>
      </c>
      <c r="E2236" s="4">
        <f>((-32.7225204/(10/9))+-10.5)+-0.4</f>
        <v>-40.350268359999994</v>
      </c>
      <c r="F2236" s="4">
        <f>((-1.043624*(1.3/1.5))*0.6)-0.3</f>
        <v>-0.84268447999999996</v>
      </c>
    </row>
    <row r="2237" spans="1:6" x14ac:dyDescent="0.4">
      <c r="A2237" s="4">
        <v>1955.7573749999999</v>
      </c>
      <c r="B2237" s="4">
        <v>1.1840814</v>
      </c>
      <c r="C2237" s="4">
        <v>1.2270372000000001</v>
      </c>
      <c r="D2237" s="4">
        <v>-29.690004999999999</v>
      </c>
      <c r="E2237" s="4">
        <f>((-32.7043557/(10/9))+-10.5)+-0.4</f>
        <v>-40.333920130000003</v>
      </c>
      <c r="F2237" s="4">
        <f>((-1.0440338*(1.3/1.5))*0.6)-0.3</f>
        <v>-0.84289757599999993</v>
      </c>
    </row>
    <row r="2238" spans="1:6" x14ac:dyDescent="0.4">
      <c r="A2238" s="4">
        <v>1956.6323</v>
      </c>
      <c r="B2238" s="4">
        <v>1.1839937</v>
      </c>
      <c r="C2238" s="4">
        <v>1.2273912</v>
      </c>
      <c r="D2238" s="4">
        <v>-29.691955</v>
      </c>
      <c r="E2238" s="4">
        <f>((-32.7125025/(10/9))+-10.5)+-0.4</f>
        <v>-40.341252249999997</v>
      </c>
      <c r="F2238" s="4">
        <f>((-1.0443478*(1.3/1.5))*0.6)-0.3</f>
        <v>-0.84306085599999991</v>
      </c>
    </row>
    <row r="2239" spans="1:6" x14ac:dyDescent="0.4">
      <c r="A2239" s="4">
        <v>1957.5072250000001</v>
      </c>
      <c r="B2239" s="4">
        <v>1.1845920999999999</v>
      </c>
      <c r="C2239" s="4">
        <v>1.2275186</v>
      </c>
      <c r="D2239" s="4">
        <v>-29.693657999999999</v>
      </c>
      <c r="E2239" s="4">
        <f>((-32.6917863/(10/9))+-10.5)+-0.4</f>
        <v>-40.322607669999989</v>
      </c>
      <c r="F2239" s="4">
        <f>((-1.0446157*(1.3/1.5))*0.6)-0.3</f>
        <v>-0.84320016399999997</v>
      </c>
    </row>
    <row r="2240" spans="1:6" x14ac:dyDescent="0.4">
      <c r="A2240" s="4">
        <v>1958.3821499999999</v>
      </c>
      <c r="B2240" s="4">
        <v>1.1846361999999999</v>
      </c>
      <c r="C2240" s="4">
        <v>1.227705</v>
      </c>
      <c r="D2240" s="4">
        <v>-29.69556</v>
      </c>
      <c r="E2240" s="4">
        <f>((-32.6918997/(10/9))+-10.5)+-0.4</f>
        <v>-40.322709729999993</v>
      </c>
      <c r="F2240" s="4">
        <f>((-1.0448931*(1.3/1.5))*0.6)-0.3</f>
        <v>-0.84334441199999999</v>
      </c>
    </row>
    <row r="2241" spans="1:6" x14ac:dyDescent="0.4">
      <c r="A2241" s="4">
        <v>1959.257075</v>
      </c>
      <c r="B2241" s="4">
        <v>1.1848449999999999</v>
      </c>
      <c r="C2241" s="4">
        <v>1.2280439000000001</v>
      </c>
      <c r="D2241" s="4">
        <v>-29.697500999999999</v>
      </c>
      <c r="E2241" s="4">
        <f>((-32.6865582/(10/9))+-10.5)+-0.4</f>
        <v>-40.31790238</v>
      </c>
      <c r="F2241" s="4">
        <f>((-1.0451628*(1.3/1.5))*0.6)-0.3</f>
        <v>-0.843484656</v>
      </c>
    </row>
    <row r="2242" spans="1:6" x14ac:dyDescent="0.4">
      <c r="A2242" s="4">
        <v>1960.1320000000001</v>
      </c>
      <c r="B2242" s="4">
        <v>1.1850992</v>
      </c>
      <c r="C2242" s="4">
        <v>1.2281393</v>
      </c>
      <c r="D2242" s="4">
        <v>-29.699424</v>
      </c>
      <c r="E2242" s="4">
        <f>((-32.6660994/(10/9))+-10.5)+-0.4</f>
        <v>-40.299489459999997</v>
      </c>
      <c r="F2242" s="4">
        <f>((-1.0453404*(1.3/1.5))*0.6)-0.3</f>
        <v>-0.84357700800000002</v>
      </c>
    </row>
    <row r="2243" spans="1:6" x14ac:dyDescent="0.4">
      <c r="A2243" s="4">
        <v>1961.0069250000001</v>
      </c>
      <c r="B2243" s="4">
        <v>1.1852412000000001</v>
      </c>
      <c r="C2243" s="4">
        <v>1.2283747</v>
      </c>
      <c r="D2243" s="4">
        <v>-29.701233999999999</v>
      </c>
      <c r="E2243" s="4">
        <f>((-32.6205297/(10/9))+-10.5)+-0.4</f>
        <v>-40.258476729999991</v>
      </c>
      <c r="F2243" s="4">
        <f>((-1.0456011*(1.3/1.5))*0.6)-0.3</f>
        <v>-0.84371257200000005</v>
      </c>
    </row>
    <row r="2244" spans="1:6" x14ac:dyDescent="0.4">
      <c r="A2244" s="4">
        <v>1961.88185</v>
      </c>
      <c r="B2244" s="4">
        <v>1.1852593</v>
      </c>
      <c r="C2244" s="4">
        <v>1.2284446</v>
      </c>
      <c r="D2244" s="4">
        <v>-29.703247999999999</v>
      </c>
      <c r="E2244" s="4">
        <f>((-32.6663631/(10/9))+-10.5)+-0.4</f>
        <v>-40.299726789999994</v>
      </c>
      <c r="F2244" s="4">
        <f>((-1.0457709*(1.3/1.5))*0.6)-0.3</f>
        <v>-0.84380086799999998</v>
      </c>
    </row>
    <row r="2245" spans="1:6" x14ac:dyDescent="0.4">
      <c r="A2245" s="4">
        <v>1962.7567749999998</v>
      </c>
      <c r="B2245" s="4">
        <v>1.1856258</v>
      </c>
      <c r="C2245" s="4">
        <v>1.2288364000000001</v>
      </c>
      <c r="D2245" s="4">
        <v>-29.705162999999999</v>
      </c>
      <c r="E2245" s="4">
        <f>((-32.6483631/(10/9))+-10.5)+-0.4</f>
        <v>-40.283526789999996</v>
      </c>
      <c r="F2245" s="4">
        <f>((-1.0459958*(1.3/1.5))*0.6)-0.3</f>
        <v>-0.84391781600000004</v>
      </c>
    </row>
    <row r="2246" spans="1:6" x14ac:dyDescent="0.4">
      <c r="A2246" s="4">
        <v>1963.6316999999999</v>
      </c>
      <c r="B2246" s="4">
        <v>1.1858777</v>
      </c>
      <c r="C2246" s="4">
        <v>1.2291000000000001</v>
      </c>
      <c r="D2246" s="4">
        <v>-29.707072</v>
      </c>
      <c r="E2246" s="4">
        <f>((-32.610258/(10/9))+-10.5)+-0.4</f>
        <v>-40.249232200000002</v>
      </c>
      <c r="F2246" s="4">
        <f>((-1.046208*(1.3/1.5))*0.6)-0.3</f>
        <v>-0.84402815999999992</v>
      </c>
    </row>
    <row r="2247" spans="1:6" x14ac:dyDescent="0.4">
      <c r="A2247" s="4">
        <v>1964.506625</v>
      </c>
      <c r="B2247" s="4">
        <v>1.1861375999999999</v>
      </c>
      <c r="C2247" s="4">
        <v>1.2292069000000001</v>
      </c>
      <c r="D2247" s="4">
        <v>-29.709091999999998</v>
      </c>
      <c r="E2247" s="4">
        <f>((-32.6624184/(10/9))+-10.5)+-0.4</f>
        <v>-40.296176559999999</v>
      </c>
      <c r="F2247" s="4">
        <f>((-1.046404*(1.3/1.5))*0.6)-0.3</f>
        <v>-0.84413008</v>
      </c>
    </row>
    <row r="2248" spans="1:6" x14ac:dyDescent="0.4">
      <c r="A2248" s="4">
        <v>1965.3815500000001</v>
      </c>
      <c r="B2248" s="4">
        <v>1.1863087000000001</v>
      </c>
      <c r="C2248" s="4">
        <v>1.2295408999999999</v>
      </c>
      <c r="D2248" s="4">
        <v>-29.710912</v>
      </c>
      <c r="E2248" s="4">
        <f>((-32.6460213/(10/9))+-10.5)+-0.4</f>
        <v>-40.281419169999999</v>
      </c>
      <c r="F2248" s="4">
        <f>((-1.0466115*(1.3/1.5))*0.6)-0.3</f>
        <v>-0.84423797999999994</v>
      </c>
    </row>
    <row r="2249" spans="1:6" x14ac:dyDescent="0.4">
      <c r="A2249" s="4">
        <v>1966.2564750000001</v>
      </c>
      <c r="B2249" s="4">
        <v>1.1862383999999999</v>
      </c>
      <c r="C2249" s="4">
        <v>1.229636</v>
      </c>
      <c r="D2249" s="4">
        <v>-29.712755999999999</v>
      </c>
      <c r="E2249" s="4">
        <f>((-32.6295009/(10/9))+-10.5)+-0.4</f>
        <v>-40.266550809999991</v>
      </c>
      <c r="F2249" s="4">
        <f>((-1.0469042*(1.3/1.5))*0.6)-0.3</f>
        <v>-0.84439018399999988</v>
      </c>
    </row>
    <row r="2250" spans="1:6" x14ac:dyDescent="0.4">
      <c r="A2250" s="4">
        <v>1967.1314</v>
      </c>
      <c r="B2250" s="4">
        <v>1.1865067</v>
      </c>
      <c r="C2250" s="4">
        <v>1.229722</v>
      </c>
      <c r="D2250" s="4">
        <v>-29.714680999999999</v>
      </c>
      <c r="E2250" s="4">
        <f>((-32.6380014/(10/9))+-10.5)+-0.4</f>
        <v>-40.274201259999998</v>
      </c>
      <c r="F2250" s="4">
        <f>((-1.0471703*(1.3/1.5))*0.6)-0.3</f>
        <v>-0.84452855599999999</v>
      </c>
    </row>
    <row r="2251" spans="1:6" x14ac:dyDescent="0.4">
      <c r="A2251" s="4">
        <v>1968.0063250000001</v>
      </c>
      <c r="B2251" s="4">
        <v>1.1868304999999999</v>
      </c>
      <c r="C2251" s="4">
        <v>1.2301785999999999</v>
      </c>
      <c r="D2251" s="4">
        <v>-29.716483</v>
      </c>
      <c r="E2251" s="4">
        <f>((-32.6475909/(10/9))+-10.5)+-0.4</f>
        <v>-40.282831809999998</v>
      </c>
      <c r="F2251" s="4">
        <f>((-1.0474693*(1.3/1.5))*0.6)-0.3</f>
        <v>-0.84468403599999986</v>
      </c>
    </row>
    <row r="2252" spans="1:6" x14ac:dyDescent="0.4">
      <c r="A2252" s="4">
        <v>1968.8812499999999</v>
      </c>
      <c r="B2252" s="4">
        <v>1.1869734999999999</v>
      </c>
      <c r="C2252" s="4">
        <v>1.2302347</v>
      </c>
      <c r="D2252" s="4">
        <v>-29.718464999999998</v>
      </c>
      <c r="E2252" s="4">
        <f>((-32.6105154/(10/9))+-10.5)+-0.4</f>
        <v>-40.249463859999999</v>
      </c>
      <c r="F2252" s="4">
        <f>((-1.0477421*(1.3/1.5))*0.6)-0.3</f>
        <v>-0.84482589200000002</v>
      </c>
    </row>
    <row r="2253" spans="1:6" x14ac:dyDescent="0.4">
      <c r="A2253" s="4">
        <v>1969.756175</v>
      </c>
      <c r="B2253" s="4">
        <v>1.1871357</v>
      </c>
      <c r="C2253" s="4">
        <v>1.2304614</v>
      </c>
      <c r="D2253" s="4">
        <v>-29.720433</v>
      </c>
      <c r="E2253" s="4">
        <f>((-32.6339775/(10/9))+-10.5)+-0.4</f>
        <v>-40.270579749999996</v>
      </c>
      <c r="F2253" s="4">
        <f>((-1.0479811*(1.3/1.5))*0.6)-0.3</f>
        <v>-0.84495017200000011</v>
      </c>
    </row>
    <row r="2254" spans="1:6" x14ac:dyDescent="0.4">
      <c r="A2254" s="4">
        <v>1970.6311000000001</v>
      </c>
      <c r="B2254" s="4">
        <v>1.187201</v>
      </c>
      <c r="C2254" s="4">
        <v>1.2305686</v>
      </c>
      <c r="D2254" s="4">
        <v>-29.722626999999999</v>
      </c>
      <c r="E2254" s="4">
        <f>((-32.6217798/(10/9))+-10.5)+-0.4</f>
        <v>-40.259601819999993</v>
      </c>
      <c r="F2254" s="4">
        <f>((-1.0482519*(1.3/1.5))*0.6)-0.3</f>
        <v>-0.84509098799999993</v>
      </c>
    </row>
    <row r="2255" spans="1:6" x14ac:dyDescent="0.4">
      <c r="A2255" s="4">
        <v>1971.5060249999999</v>
      </c>
      <c r="B2255" s="4">
        <v>1.1874996</v>
      </c>
      <c r="C2255" s="4">
        <v>1.2308363</v>
      </c>
      <c r="D2255" s="4">
        <v>-29.724741999999999</v>
      </c>
      <c r="E2255" s="4">
        <f>((-32.6040885/(10/9))+-10.5)+-0.4</f>
        <v>-40.243679649999997</v>
      </c>
      <c r="F2255" s="4">
        <f>((-1.048508*(1.3/1.5))*0.6)-0.3</f>
        <v>-0.84522416000000011</v>
      </c>
    </row>
    <row r="2256" spans="1:6" x14ac:dyDescent="0.4">
      <c r="A2256" s="4">
        <v>1972.38095</v>
      </c>
      <c r="B2256" s="4">
        <v>1.18777</v>
      </c>
      <c r="C2256" s="4">
        <v>1.2307788</v>
      </c>
      <c r="D2256" s="4">
        <v>-29.726768</v>
      </c>
      <c r="E2256" s="4">
        <f>((-32.6230983/(10/9))+-10.5)+-0.4</f>
        <v>-40.260788470000001</v>
      </c>
      <c r="F2256" s="4">
        <f>((-1.0487518*(1.3/1.5))*0.6)-0.3</f>
        <v>-0.845350936</v>
      </c>
    </row>
    <row r="2257" spans="1:6" x14ac:dyDescent="0.4">
      <c r="A2257" s="4">
        <v>1973.2558750000001</v>
      </c>
      <c r="B2257" s="4">
        <v>1.1879829</v>
      </c>
      <c r="C2257" s="4">
        <v>1.2313133000000001</v>
      </c>
      <c r="D2257" s="4">
        <v>-29.728904</v>
      </c>
      <c r="E2257" s="4">
        <f>((-32.6128293/(10/9))+-10.5)+-0.4</f>
        <v>-40.25154637</v>
      </c>
      <c r="F2257" s="4">
        <f>((-1.0490481*(1.3/1.5))*0.6)-0.3</f>
        <v>-0.84550501200000006</v>
      </c>
    </row>
    <row r="2258" spans="1:6" x14ac:dyDescent="0.4">
      <c r="A2258" s="4">
        <v>1974.1308000000001</v>
      </c>
      <c r="B2258" s="4">
        <v>1.1882885999999999</v>
      </c>
      <c r="C2258" s="4">
        <v>1.2314689999999999</v>
      </c>
      <c r="D2258" s="4">
        <v>-29.731012</v>
      </c>
      <c r="E2258" s="4">
        <f>((-32.6174706/(10/9))+-10.5)+-0.4</f>
        <v>-40.255723539999998</v>
      </c>
      <c r="F2258" s="4">
        <f>((-1.0493071*(1.3/1.5))*0.6)-0.3</f>
        <v>-0.845639692</v>
      </c>
    </row>
    <row r="2259" spans="1:6" x14ac:dyDescent="0.4">
      <c r="A2259" s="4">
        <v>1975.005725</v>
      </c>
      <c r="B2259" s="4">
        <v>1.188159</v>
      </c>
      <c r="C2259" s="4">
        <v>1.2315758000000001</v>
      </c>
      <c r="D2259" s="4">
        <v>-29.732803999999998</v>
      </c>
      <c r="E2259" s="4">
        <f>((-32.5601433/(10/9))+-10.5)+-0.4</f>
        <v>-40.204128969999992</v>
      </c>
      <c r="F2259" s="4">
        <f>((-1.0495166*(1.3/1.5))*0.6)-0.3</f>
        <v>-0.84574863200000006</v>
      </c>
    </row>
    <row r="2260" spans="1:6" x14ac:dyDescent="0.4">
      <c r="A2260" s="4">
        <v>1975.8806499999998</v>
      </c>
      <c r="B2260" s="4">
        <v>1.1884231999999999</v>
      </c>
      <c r="C2260" s="4">
        <v>1.2317704</v>
      </c>
      <c r="D2260" s="4">
        <v>-29.734659999999998</v>
      </c>
      <c r="E2260" s="4">
        <f>((-32.6035701/(10/9))+-10.5)+-0.4</f>
        <v>-40.243213089999998</v>
      </c>
      <c r="F2260" s="4">
        <f>((-1.0496987*(1.3/1.5))*0.6)-0.3</f>
        <v>-0.84584332400000006</v>
      </c>
    </row>
    <row r="2261" spans="1:6" x14ac:dyDescent="0.4">
      <c r="A2261" s="4">
        <v>1976.7555749999999</v>
      </c>
      <c r="B2261" s="4">
        <v>1.1887755</v>
      </c>
      <c r="C2261" s="4">
        <v>1.2320815000000001</v>
      </c>
      <c r="D2261" s="4">
        <v>-29.736504999999998</v>
      </c>
      <c r="E2261" s="4">
        <f>((-32.5632537/(10/9))+-10.5)+-0.4</f>
        <v>-40.20692832999999</v>
      </c>
      <c r="F2261" s="4">
        <f>((-1.0498376*(1.3/1.5))*0.6)-0.3</f>
        <v>-0.8459155519999999</v>
      </c>
    </row>
    <row r="2262" spans="1:6" x14ac:dyDescent="0.4">
      <c r="A2262" s="4">
        <v>1977.6305</v>
      </c>
      <c r="B2262" s="4">
        <v>1.1889434000000001</v>
      </c>
      <c r="C2262" s="4">
        <v>1.2322196999999999</v>
      </c>
      <c r="D2262" s="4">
        <v>-29.738222999999998</v>
      </c>
      <c r="E2262" s="4">
        <f>((-32.5598103/(10/9))+-10.5)+-0.4</f>
        <v>-40.20382927</v>
      </c>
      <c r="F2262" s="4">
        <f>((-1.0500132*(1.3/1.5))*0.6)-0.3</f>
        <v>-0.84600686400000003</v>
      </c>
    </row>
    <row r="2263" spans="1:6" x14ac:dyDescent="0.4">
      <c r="A2263" s="4">
        <v>1978.5054250000001</v>
      </c>
      <c r="B2263" s="4">
        <v>1.1893914999999999</v>
      </c>
      <c r="C2263" s="4">
        <v>1.2323484</v>
      </c>
      <c r="D2263" s="4">
        <v>-29.739964999999998</v>
      </c>
      <c r="E2263" s="4">
        <f>((-32.5656738/(10/9))+-10.5)+-0.4</f>
        <v>-40.209106419999998</v>
      </c>
      <c r="F2263" s="4">
        <f>((-1.0502348*(1.3/1.5))*0.6)-0.3</f>
        <v>-0.84612209599999999</v>
      </c>
    </row>
    <row r="2264" spans="1:6" x14ac:dyDescent="0.4">
      <c r="A2264" s="4">
        <v>1979.3803500000001</v>
      </c>
      <c r="B2264" s="4">
        <v>1.1893393000000001</v>
      </c>
      <c r="C2264" s="4">
        <v>1.2326401</v>
      </c>
      <c r="D2264" s="4">
        <v>-29.74192</v>
      </c>
      <c r="E2264" s="4">
        <f>((-32.5527993/(10/9))+-10.5)+-0.4</f>
        <v>-40.197519369999995</v>
      </c>
      <c r="F2264" s="4">
        <f>((-1.0504969*(1.3/1.5))*0.6)-0.3</f>
        <v>-0.84625838799999986</v>
      </c>
    </row>
    <row r="2265" spans="1:6" x14ac:dyDescent="0.4">
      <c r="A2265" s="4">
        <v>1980.255275</v>
      </c>
      <c r="B2265" s="4">
        <v>1.1896319</v>
      </c>
      <c r="C2265" s="4">
        <v>1.2329521999999999</v>
      </c>
      <c r="D2265" s="4">
        <v>-29.744039000000001</v>
      </c>
      <c r="E2265" s="4">
        <f>((-32.5213749/(10/9))+-10.5)+-0.4</f>
        <v>-40.169237409999994</v>
      </c>
      <c r="F2265" s="4">
        <f>((-1.0508373*(1.3/1.5))*0.6)-0.3</f>
        <v>-0.84643539599999995</v>
      </c>
    </row>
    <row r="2266" spans="1:6" x14ac:dyDescent="0.4">
      <c r="A2266" s="4">
        <v>1981.1302000000001</v>
      </c>
      <c r="B2266" s="4">
        <v>1.1898728999999999</v>
      </c>
      <c r="C2266" s="4">
        <v>1.2330220000000001</v>
      </c>
      <c r="D2266" s="4">
        <v>-29.745857999999998</v>
      </c>
      <c r="E2266" s="4">
        <f>((-32.5014246/(10/9))+-10.5)+-0.4</f>
        <v>-40.151282139999999</v>
      </c>
      <c r="F2266" s="4">
        <f>((-1.0512493*(1.3/1.5))*0.6)-0.3</f>
        <v>-0.84664963599999998</v>
      </c>
    </row>
    <row r="2267" spans="1:6" x14ac:dyDescent="0.4">
      <c r="A2267" s="4">
        <v>1982.0051249999999</v>
      </c>
      <c r="B2267" s="4">
        <v>1.1900051</v>
      </c>
      <c r="C2267" s="4">
        <v>1.2333761000000001</v>
      </c>
      <c r="D2267" s="4">
        <v>-29.748002</v>
      </c>
      <c r="E2267" s="4">
        <f>((-32.5296045/(10/9))+-10.5)+-0.4</f>
        <v>-40.17664405</v>
      </c>
      <c r="F2267" s="4">
        <f>((-1.051737*(1.3/1.5))*0.6)-0.3</f>
        <v>-0.84690323999999984</v>
      </c>
    </row>
    <row r="2268" spans="1:6" x14ac:dyDescent="0.4">
      <c r="A2268" s="4">
        <v>1982.88005</v>
      </c>
      <c r="B2268" s="4">
        <v>1.1900637000000001</v>
      </c>
      <c r="C2268" s="4">
        <v>1.2330767</v>
      </c>
      <c r="D2268" s="4">
        <v>-29.750033999999999</v>
      </c>
      <c r="E2268" s="4">
        <f>((-32.5552131/(10/9))+-10.5)+-0.4</f>
        <v>-40.199691789999996</v>
      </c>
      <c r="F2268" s="4">
        <f>((-1.0521653*(1.3/1.5))*0.6)-0.3</f>
        <v>-0.84712595599999996</v>
      </c>
    </row>
    <row r="2269" spans="1:6" x14ac:dyDescent="0.4">
      <c r="A2269" s="4">
        <v>1983.7549750000001</v>
      </c>
      <c r="B2269" s="4">
        <v>1.1903021</v>
      </c>
      <c r="C2269" s="4">
        <v>1.2335886</v>
      </c>
      <c r="D2269" s="4">
        <v>-29.752153</v>
      </c>
      <c r="E2269" s="4">
        <f>((-32.5104777/(10/9))+-10.5)+-0.4</f>
        <v>-40.159429929999995</v>
      </c>
      <c r="F2269" s="4">
        <f>((-1.0526725*(1.3/1.5))*0.6)-0.3</f>
        <v>-0.84738969999999991</v>
      </c>
    </row>
    <row r="2270" spans="1:6" x14ac:dyDescent="0.4">
      <c r="A2270" s="4">
        <v>1984.6298999999999</v>
      </c>
      <c r="B2270" s="4">
        <v>1.19058</v>
      </c>
      <c r="C2270" s="4">
        <v>1.2338849999999999</v>
      </c>
      <c r="D2270" s="4">
        <v>-29.754369000000001</v>
      </c>
      <c r="E2270" s="4">
        <f>((-32.5069929/(10/9))+-10.5)+-0.4</f>
        <v>-40.156293609999999</v>
      </c>
      <c r="F2270" s="4">
        <f>((-1.0532424*(1.3/1.5))*0.6)-0.3</f>
        <v>-0.84768604799999991</v>
      </c>
    </row>
    <row r="2271" spans="1:6" x14ac:dyDescent="0.4">
      <c r="A2271" s="4">
        <v>1985.504825</v>
      </c>
      <c r="B2271" s="4">
        <v>1.1910305000000001</v>
      </c>
      <c r="C2271" s="4">
        <v>1.2342042</v>
      </c>
      <c r="D2271" s="4">
        <v>-29.75658</v>
      </c>
      <c r="E2271" s="4">
        <f>((-32.5162899/(10/9))+-10.5)+-0.4</f>
        <v>-40.164660909999995</v>
      </c>
      <c r="F2271" s="4">
        <f>((-1.0537905*(1.3/1.5))*0.6)-0.3</f>
        <v>-0.84797106000000011</v>
      </c>
    </row>
    <row r="2272" spans="1:6" x14ac:dyDescent="0.4">
      <c r="A2272" s="4">
        <v>1986.3797500000001</v>
      </c>
      <c r="B2272" s="4">
        <v>1.1913552999999999</v>
      </c>
      <c r="C2272" s="4">
        <v>1.2344128000000001</v>
      </c>
      <c r="D2272" s="4">
        <v>-29.758703999999998</v>
      </c>
      <c r="E2272" s="4">
        <f>((-32.5180683/(10/9))+-10.5)+-0.4</f>
        <v>-40.166261470000002</v>
      </c>
      <c r="F2272" s="4">
        <f>((-1.0543973*(1.3/1.5))*0.6)-0.3</f>
        <v>-0.84828659599999989</v>
      </c>
    </row>
    <row r="2273" spans="1:6" x14ac:dyDescent="0.4">
      <c r="A2273" s="4">
        <v>1987.2546750000001</v>
      </c>
      <c r="B2273" s="4">
        <v>1.1913644000000001</v>
      </c>
      <c r="C2273" s="4">
        <v>1.2346022000000001</v>
      </c>
      <c r="D2273" s="4">
        <v>-29.760551</v>
      </c>
      <c r="E2273" s="4">
        <f>((-32.4921996/(10/9))+-10.5)+-0.4</f>
        <v>-40.14297964</v>
      </c>
      <c r="F2273" s="4">
        <f>((-1.0549136*(1.3/1.5))*0.6)-0.3</f>
        <v>-0.84855507199999991</v>
      </c>
    </row>
    <row r="2274" spans="1:6" x14ac:dyDescent="0.4">
      <c r="A2274" s="4">
        <v>1988.1296</v>
      </c>
      <c r="B2274" s="4">
        <v>1.1916614000000001</v>
      </c>
      <c r="C2274" s="4">
        <v>1.2345965999999999</v>
      </c>
      <c r="D2274" s="4">
        <v>-29.762499999999999</v>
      </c>
      <c r="E2274" s="4">
        <f>((-32.4703575/(10/9))+-10.5)+-0.4</f>
        <v>-40.123321749999995</v>
      </c>
      <c r="F2274" s="4">
        <f>((-1.0553041*(1.3/1.5))*0.6)-0.3</f>
        <v>-0.84875813199999994</v>
      </c>
    </row>
    <row r="2275" spans="1:6" x14ac:dyDescent="0.4">
      <c r="A2275" s="4">
        <v>1989.0045249999998</v>
      </c>
      <c r="B2275" s="4">
        <v>1.1917602</v>
      </c>
      <c r="C2275" s="4">
        <v>1.2348558000000001</v>
      </c>
      <c r="D2275" s="4">
        <v>-29.764430000000001</v>
      </c>
      <c r="E2275" s="4">
        <f>((-32.5170351/(10/9))+-10.5)+-0.4</f>
        <v>-40.165331590000001</v>
      </c>
      <c r="F2275" s="4">
        <f>((-1.0557344*(1.3/1.5))*0.6)-0.3</f>
        <v>-0.84898188799999996</v>
      </c>
    </row>
    <row r="2276" spans="1:6" x14ac:dyDescent="0.4">
      <c r="A2276" s="4">
        <v>1989.8794499999999</v>
      </c>
      <c r="B2276" s="4">
        <v>1.191878</v>
      </c>
      <c r="C2276" s="4">
        <v>1.2353095000000001</v>
      </c>
      <c r="D2276" s="4">
        <v>-29.766407999999998</v>
      </c>
      <c r="E2276" s="4">
        <f>((-32.4637686/(10/9))+-10.5)+-0.4</f>
        <v>-40.117391739999995</v>
      </c>
      <c r="F2276" s="4">
        <f>((-1.056113*(1.3/1.5))*0.6)-0.3</f>
        <v>-0.84917876000000003</v>
      </c>
    </row>
    <row r="2277" spans="1:6" x14ac:dyDescent="0.4">
      <c r="A2277" s="4">
        <v>1990.754375</v>
      </c>
      <c r="B2277" s="4">
        <v>1.1923463000000001</v>
      </c>
      <c r="C2277" s="4">
        <v>1.2354822000000001</v>
      </c>
      <c r="D2277" s="4">
        <v>-29.768343999999999</v>
      </c>
      <c r="E2277" s="4">
        <f>((-32.4366669/(10/9))+-10.5)+-0.4</f>
        <v>-40.093000209999992</v>
      </c>
      <c r="F2277" s="4">
        <f>((-1.0565115*(1.3/1.5))*0.6)-0.3</f>
        <v>-0.8493859800000001</v>
      </c>
    </row>
    <row r="2278" spans="1:6" x14ac:dyDescent="0.4">
      <c r="A2278" s="4">
        <v>1991.6293000000001</v>
      </c>
      <c r="B2278" s="4">
        <v>1.1925056000000001</v>
      </c>
      <c r="C2278" s="4">
        <v>1.2358009999999999</v>
      </c>
      <c r="D2278" s="4">
        <v>-29.770464999999998</v>
      </c>
      <c r="E2278" s="4">
        <f>((-32.4787788/(10/9))+-10.5)+-0.4</f>
        <v>-40.130900919999995</v>
      </c>
      <c r="F2278" s="4">
        <f>((-1.0568987*(1.3/1.5))*0.6)-0.3</f>
        <v>-0.84958732400000003</v>
      </c>
    </row>
    <row r="2279" spans="1:6" x14ac:dyDescent="0.4">
      <c r="A2279" s="4">
        <v>1992.5042250000001</v>
      </c>
      <c r="B2279" s="4">
        <v>1.1926813999999999</v>
      </c>
      <c r="C2279" s="4">
        <v>1.2360042</v>
      </c>
      <c r="D2279" s="4">
        <v>-29.772314999999999</v>
      </c>
      <c r="E2279" s="4">
        <f>((-32.4538776/(10/9))+-10.5)+-0.4</f>
        <v>-40.108489839999997</v>
      </c>
      <c r="F2279" s="4">
        <f>((-1.0574014*(1.3/1.5))*0.6)-0.3</f>
        <v>-0.849848728</v>
      </c>
    </row>
    <row r="2280" spans="1:6" x14ac:dyDescent="0.4">
      <c r="A2280" s="4">
        <v>1993.37915</v>
      </c>
      <c r="B2280" s="4">
        <v>1.1929095000000001</v>
      </c>
      <c r="C2280" s="4">
        <v>1.2361013999999999</v>
      </c>
      <c r="D2280" s="4">
        <v>-29.774166999999998</v>
      </c>
      <c r="E2280" s="4">
        <f>((-32.4319842/(10/9))+-10.5)+-0.4</f>
        <v>-40.088785780000002</v>
      </c>
      <c r="F2280" s="4">
        <f>((-1.0579261*(1.3/1.5))*0.6)-0.3</f>
        <v>-0.85012157199999994</v>
      </c>
    </row>
    <row r="2281" spans="1:6" x14ac:dyDescent="0.4">
      <c r="A2281" s="4">
        <v>1994.2540750000001</v>
      </c>
      <c r="B2281" s="4">
        <v>1.1929685999999999</v>
      </c>
      <c r="C2281" s="4">
        <v>1.2362366</v>
      </c>
      <c r="D2281" s="4">
        <v>-29.776133999999999</v>
      </c>
      <c r="E2281" s="4">
        <f>((-32.43816/(10/9))+-10.5)+-0.4</f>
        <v>-40.094344</v>
      </c>
      <c r="F2281" s="4">
        <f>((-1.0584184*(1.3/1.5))*0.6)-0.3</f>
        <v>-0.85037756800000008</v>
      </c>
    </row>
    <row r="2282" spans="1:6" x14ac:dyDescent="0.4">
      <c r="A2282" s="4">
        <v>1995.1289999999999</v>
      </c>
      <c r="B2282" s="4">
        <v>1.1931558</v>
      </c>
      <c r="C2282" s="4">
        <v>1.2362909</v>
      </c>
      <c r="D2282" s="4">
        <v>-29.777819999999998</v>
      </c>
      <c r="E2282" s="4">
        <f>((-32.4602631/(10/9))+-10.5)+-0.4</f>
        <v>-40.11423679</v>
      </c>
      <c r="F2282" s="4">
        <f>((-1.0589861*(1.3/1.5))*0.6)-0.3</f>
        <v>-0.85067277200000002</v>
      </c>
    </row>
    <row r="2283" spans="1:6" x14ac:dyDescent="0.4">
      <c r="A2283" s="4">
        <v>1996.003925</v>
      </c>
      <c r="B2283" s="4">
        <v>1.1934267999999999</v>
      </c>
      <c r="C2283" s="4">
        <v>1.2369621</v>
      </c>
      <c r="D2283" s="4">
        <v>-29.779536</v>
      </c>
      <c r="E2283" s="4">
        <f>((-32.4356166/(10/9))+-10.5)+-0.4</f>
        <v>-40.092054940000004</v>
      </c>
      <c r="F2283" s="4">
        <f>((-1.0595295*(1.3/1.5))*0.6)-0.3</f>
        <v>-0.85095534000000006</v>
      </c>
    </row>
    <row r="2284" spans="1:6" x14ac:dyDescent="0.4">
      <c r="A2284" s="4">
        <v>1996.8788500000001</v>
      </c>
      <c r="B2284" s="4">
        <v>1.1938276999999999</v>
      </c>
      <c r="C2284" s="4">
        <v>1.2371331000000001</v>
      </c>
      <c r="D2284" s="4">
        <v>-29.781351999999998</v>
      </c>
      <c r="E2284" s="4">
        <f>((-32.4483534/(10/9))+-10.5)+-0.4</f>
        <v>-40.103518059999999</v>
      </c>
      <c r="F2284" s="4">
        <f>((-1.0600611*(1.3/1.5))*0.6)-0.3</f>
        <v>-0.851231772</v>
      </c>
    </row>
    <row r="2285" spans="1:6" x14ac:dyDescent="0.4">
      <c r="A2285" s="4">
        <v>1997.7537749999999</v>
      </c>
      <c r="B2285" s="4">
        <v>1.1940801000000001</v>
      </c>
      <c r="C2285" s="4">
        <v>1.2374889</v>
      </c>
      <c r="D2285" s="4">
        <v>-29.783238999999998</v>
      </c>
      <c r="E2285" s="4">
        <f>((-32.4195903/(10/9))+-10.5)+-0.4</f>
        <v>-40.077631270000005</v>
      </c>
      <c r="F2285" s="4">
        <f>((-1.0605092*(1.3/1.5))*0.6)-0.3</f>
        <v>-0.85146478400000003</v>
      </c>
    </row>
    <row r="2286" spans="1:6" x14ac:dyDescent="0.4">
      <c r="A2286" s="4">
        <v>1998.6287</v>
      </c>
      <c r="B2286" s="4">
        <v>1.1940898</v>
      </c>
      <c r="C2286" s="4">
        <v>1.2376289</v>
      </c>
      <c r="D2286" s="4">
        <v>-29.785095999999999</v>
      </c>
      <c r="E2286" s="4">
        <f>((-32.4154944/(10/9))+-10.5)+-0.4</f>
        <v>-40.073944959999999</v>
      </c>
      <c r="F2286" s="4">
        <f>((-1.0610313*(1.3/1.5))*0.6)-0.3</f>
        <v>-0.85173627600000001</v>
      </c>
    </row>
    <row r="2287" spans="1:6" x14ac:dyDescent="0.4">
      <c r="A2287" s="4">
        <v>1999.5036250000001</v>
      </c>
      <c r="B2287" s="4">
        <v>1.1943790999999999</v>
      </c>
      <c r="C2287" s="4">
        <v>1.2377179</v>
      </c>
      <c r="D2287" s="4">
        <v>-29.786618000000001</v>
      </c>
      <c r="E2287" s="4">
        <f>((-32.4230886/(10/9))+-10.5)+-0.4</f>
        <v>-40.080779739999997</v>
      </c>
      <c r="F2287" s="4">
        <f>((-1.0615124*(1.3/1.5))*0.6)-0.3</f>
        <v>-0.8519864479999999</v>
      </c>
    </row>
    <row r="2288" spans="1:6" x14ac:dyDescent="0.4">
      <c r="A2288" s="4">
        <v>2000.3785500000001</v>
      </c>
      <c r="B2288" s="4">
        <v>1.1947749000000001</v>
      </c>
      <c r="C2288" s="4">
        <v>1.238343</v>
      </c>
      <c r="D2288" s="4">
        <v>-29.788492999999999</v>
      </c>
      <c r="E2288" s="4">
        <f>((-32.4181584/(10/9))+-10.5)+-0.4</f>
        <v>-40.076342560000001</v>
      </c>
      <c r="F2288" s="4">
        <f>((-1.0619953*(1.3/1.5))*0.6)-0.3</f>
        <v>-0.85223755599999995</v>
      </c>
    </row>
    <row r="2289" spans="1:6" x14ac:dyDescent="0.4">
      <c r="A2289" s="4">
        <v>2001.253475</v>
      </c>
      <c r="B2289" s="4">
        <v>1.1950736</v>
      </c>
      <c r="C2289" s="4">
        <v>1.2387182999999999</v>
      </c>
      <c r="D2289" s="4">
        <v>-29.790118</v>
      </c>
      <c r="E2289" s="4">
        <f>((-32.4316647/(10/9))+-10.5)+-0.4</f>
        <v>-40.088498229999992</v>
      </c>
      <c r="F2289" s="4">
        <f>((-1.0625131*(1.3/1.5))*0.6)-0.3</f>
        <v>-0.85250681200000011</v>
      </c>
    </row>
    <row r="2290" spans="1:6" x14ac:dyDescent="0.4">
      <c r="A2290" s="4">
        <v>2002.1283999999998</v>
      </c>
      <c r="B2290" s="4">
        <v>1.1952664</v>
      </c>
      <c r="C2290" s="4">
        <v>1.2388075999999999</v>
      </c>
      <c r="D2290" s="4">
        <v>-29.791888</v>
      </c>
      <c r="E2290" s="4">
        <f>((-32.4035568/(10/9))+-10.5)+-0.4</f>
        <v>-40.063201119999995</v>
      </c>
      <c r="F2290" s="4">
        <f>((-1.0630003*(1.3/1.5))*0.6)-0.3</f>
        <v>-0.85276015599999999</v>
      </c>
    </row>
    <row r="2291" spans="1:6" x14ac:dyDescent="0.4">
      <c r="A2291" s="4">
        <v>2003.0033249999999</v>
      </c>
      <c r="B2291" s="4">
        <v>1.1953677</v>
      </c>
      <c r="C2291" s="4">
        <v>1.2391455</v>
      </c>
      <c r="D2291" s="4">
        <v>-29.793821999999999</v>
      </c>
      <c r="E2291" s="4">
        <f>((-32.456466/(10/9))+-10.5)+-0.4</f>
        <v>-40.110819399999997</v>
      </c>
      <c r="F2291" s="4">
        <f>((-1.063491*(1.3/1.5))*0.6)-0.3</f>
        <v>-0.85301531999999991</v>
      </c>
    </row>
    <row r="2292" spans="1:6" x14ac:dyDescent="0.4">
      <c r="A2292" s="4">
        <v>2003.87825</v>
      </c>
      <c r="B2292" s="4">
        <v>1.1958736999999999</v>
      </c>
      <c r="C2292" s="4">
        <v>1.2392578999999999</v>
      </c>
      <c r="D2292" s="4">
        <v>-29.795316</v>
      </c>
      <c r="E2292" s="4">
        <f>((-32.3965152/(10/9))+-10.5)+-0.4</f>
        <v>-40.056863679999999</v>
      </c>
      <c r="F2292" s="4">
        <f>((-1.0639199*(1.3/1.5))*0.6)-0.3</f>
        <v>-0.85323834799999987</v>
      </c>
    </row>
    <row r="2293" spans="1:6" x14ac:dyDescent="0.4">
      <c r="A2293" s="4">
        <v>2004.7531750000001</v>
      </c>
      <c r="B2293" s="4">
        <v>1.1958848</v>
      </c>
      <c r="C2293" s="4">
        <v>1.2396024000000001</v>
      </c>
      <c r="D2293" s="4">
        <v>-29.796878</v>
      </c>
      <c r="E2293" s="4">
        <f>((-32.4273357/(10/9))+-10.5)+-0.4</f>
        <v>-40.08460213</v>
      </c>
      <c r="F2293" s="4">
        <f>((-1.0644479*(1.3/1.5))*0.6)-0.3</f>
        <v>-0.8535129079999999</v>
      </c>
    </row>
    <row r="2294" spans="1:6" x14ac:dyDescent="0.4">
      <c r="A2294" s="4">
        <v>2005.6281000000001</v>
      </c>
      <c r="B2294" s="4">
        <v>1.1962633</v>
      </c>
      <c r="C2294" s="4">
        <v>1.2399403</v>
      </c>
      <c r="D2294" s="4">
        <v>-29.798645999999998</v>
      </c>
      <c r="E2294" s="4">
        <f>((-32.4056682/(10/9))+-10.5)+-0.4</f>
        <v>-40.065101379999994</v>
      </c>
      <c r="F2294" s="4">
        <f>((-1.0649691*(1.3/1.5))*0.6)-0.3</f>
        <v>-0.85378393200000002</v>
      </c>
    </row>
    <row r="2295" spans="1:6" x14ac:dyDescent="0.4">
      <c r="A2295" s="4">
        <v>2006.503025</v>
      </c>
      <c r="B2295" s="4">
        <v>1.1965163000000001</v>
      </c>
      <c r="C2295" s="4">
        <v>1.2402051999999999</v>
      </c>
      <c r="D2295" s="4">
        <v>-29.800280999999998</v>
      </c>
      <c r="E2295" s="4">
        <f>((-32.3965944/(10/9))+-10.5)+-0.4</f>
        <v>-40.05693496</v>
      </c>
      <c r="F2295" s="4">
        <f>((-1.0655026*(1.3/1.5))*0.6)-0.3</f>
        <v>-0.854061352</v>
      </c>
    </row>
    <row r="2296" spans="1:6" x14ac:dyDescent="0.4">
      <c r="A2296" s="4">
        <v>2007.3779500000001</v>
      </c>
      <c r="B2296" s="4">
        <v>1.1967589999999999</v>
      </c>
      <c r="C2296" s="4">
        <v>1.2405170999999999</v>
      </c>
      <c r="D2296" s="4">
        <v>-29.802071999999999</v>
      </c>
      <c r="E2296" s="4">
        <f>((-32.3629524/(10/9))+-10.5)+-0.4</f>
        <v>-40.026657159999992</v>
      </c>
      <c r="F2296" s="4">
        <f>((-1.0659883*(1.3/1.5))*0.6)-0.3</f>
        <v>-0.85431391600000017</v>
      </c>
    </row>
    <row r="2297" spans="1:6" x14ac:dyDescent="0.4">
      <c r="A2297" s="4">
        <v>2008.2528749999999</v>
      </c>
      <c r="B2297" s="4">
        <v>1.1969299</v>
      </c>
      <c r="C2297" s="4">
        <v>1.2406839000000001</v>
      </c>
      <c r="D2297" s="4">
        <v>-29.803701</v>
      </c>
      <c r="E2297" s="4">
        <f>((-32.3711676/(10/9))+-10.5)+-0.4</f>
        <v>-40.034050839999999</v>
      </c>
      <c r="F2297" s="4">
        <f>((-1.0664027*(1.3/1.5))*0.6)-0.3</f>
        <v>-0.85452940399999999</v>
      </c>
    </row>
    <row r="2298" spans="1:6" x14ac:dyDescent="0.4">
      <c r="A2298" s="4">
        <v>2009.1278</v>
      </c>
      <c r="B2298" s="4">
        <v>1.1972826000000001</v>
      </c>
      <c r="C2298" s="4">
        <v>1.2408307999999999</v>
      </c>
      <c r="D2298" s="4">
        <v>-29.805275999999999</v>
      </c>
      <c r="E2298" s="4">
        <f>((-32.3925705/(10/9))+-10.5)+-0.4</f>
        <v>-40.053313449999997</v>
      </c>
      <c r="F2298" s="4">
        <f>((-1.0668945*(1.3/1.5))*0.6)-0.3</f>
        <v>-0.85478513999999994</v>
      </c>
    </row>
    <row r="2299" spans="1:6" x14ac:dyDescent="0.4">
      <c r="A2299" s="4">
        <v>2010.0027250000001</v>
      </c>
      <c r="B2299" s="4">
        <v>1.1975149</v>
      </c>
      <c r="C2299" s="4">
        <v>1.2412920999999999</v>
      </c>
      <c r="D2299" s="4">
        <v>-29.806604</v>
      </c>
      <c r="E2299" s="4">
        <f>((-32.3802108/(10/9))+-10.5)+-0.4</f>
        <v>-40.042189719999996</v>
      </c>
      <c r="F2299" s="4">
        <f>((-1.0673647*(1.3/1.5))*0.6)-0.3</f>
        <v>-0.85502964400000003</v>
      </c>
    </row>
    <row r="2300" spans="1:6" x14ac:dyDescent="0.4">
      <c r="A2300" s="4">
        <v>2010.8776499999999</v>
      </c>
      <c r="B2300" s="4">
        <v>1.1979424000000001</v>
      </c>
      <c r="C2300" s="4">
        <v>1.2416174</v>
      </c>
      <c r="D2300" s="4">
        <v>-29.808540000000001</v>
      </c>
      <c r="E2300" s="4">
        <f>((-32.3692416/(10/9))+-10.5)+-0.4</f>
        <v>-40.03231744</v>
      </c>
      <c r="F2300" s="4">
        <f>((-1.0678117*(1.3/1.5))*0.6)-0.3</f>
        <v>-0.85526208400000003</v>
      </c>
    </row>
    <row r="2301" spans="1:6" x14ac:dyDescent="0.4">
      <c r="A2301" s="4">
        <v>2011.752575</v>
      </c>
      <c r="B2301" s="4">
        <v>1.1980826</v>
      </c>
      <c r="C2301" s="4">
        <v>1.2419983000000001</v>
      </c>
      <c r="D2301" s="4">
        <v>-29.810209999999998</v>
      </c>
      <c r="E2301" s="4">
        <f>((-32.3425899/(10/9))+-10.5)+-0.4</f>
        <v>-40.008330909999998</v>
      </c>
      <c r="F2301" s="4">
        <f>((-1.0683748*(1.3/1.5))*0.6)-0.3</f>
        <v>-0.8555548959999999</v>
      </c>
    </row>
    <row r="2302" spans="1:6" x14ac:dyDescent="0.4">
      <c r="A2302" s="4">
        <v>2012.6275000000001</v>
      </c>
      <c r="B2302" s="4">
        <v>1.1983355</v>
      </c>
      <c r="C2302" s="4">
        <v>1.2421028999999999</v>
      </c>
      <c r="D2302" s="4">
        <v>-29.811927000000001</v>
      </c>
      <c r="E2302" s="4">
        <f>((-32.349933/(10/9))+-10.5)+-0.4</f>
        <v>-40.014939699999992</v>
      </c>
      <c r="F2302" s="4">
        <f>((-1.0688661*(1.3/1.5))*0.6)-0.3</f>
        <v>-0.85581037199999987</v>
      </c>
    </row>
    <row r="2303" spans="1:6" x14ac:dyDescent="0.4">
      <c r="A2303" s="4">
        <v>2013.5024250000001</v>
      </c>
      <c r="B2303" s="4">
        <v>1.1987749000000001</v>
      </c>
      <c r="C2303" s="4">
        <v>1.2423807</v>
      </c>
      <c r="D2303" s="4">
        <v>-29.813803999999998</v>
      </c>
      <c r="E2303" s="4">
        <f>((-32.3580186/(10/9))+-10.5)+-0.4</f>
        <v>-40.022216739999998</v>
      </c>
      <c r="F2303" s="4">
        <f>((-1.0692886*(1.3/1.5))*0.6)-0.3</f>
        <v>-0.85603007200000003</v>
      </c>
    </row>
    <row r="2304" spans="1:6" x14ac:dyDescent="0.4">
      <c r="A2304" s="4">
        <v>2014.3773500000002</v>
      </c>
      <c r="B2304" s="4">
        <v>1.1987984</v>
      </c>
      <c r="C2304" s="4">
        <v>1.2426117999999999</v>
      </c>
      <c r="D2304" s="4">
        <v>-29.815587000000001</v>
      </c>
      <c r="E2304" s="4">
        <f>((-32.3748072/(10/9))+-10.5)+-0.4</f>
        <v>-40.037326479999997</v>
      </c>
      <c r="F2304" s="4">
        <f>((-1.0696611*(1.3/1.5))*0.6)-0.3</f>
        <v>-0.85622377200000011</v>
      </c>
    </row>
    <row r="2305" spans="1:6" x14ac:dyDescent="0.4">
      <c r="A2305" s="4">
        <v>2015.2522749999998</v>
      </c>
      <c r="B2305" s="4">
        <v>1.1989341</v>
      </c>
      <c r="C2305" s="4">
        <v>1.2427665000000001</v>
      </c>
      <c r="D2305" s="4">
        <v>-29.817309999999999</v>
      </c>
      <c r="E2305" s="4">
        <f>((-32.3749584/(10/9))+-10.5)+-0.4</f>
        <v>-40.037462559999994</v>
      </c>
      <c r="F2305" s="4">
        <f>((-1.0700274*(1.3/1.5))*0.6)-0.3</f>
        <v>-0.8564142480000001</v>
      </c>
    </row>
    <row r="2306" spans="1:6" x14ac:dyDescent="0.4">
      <c r="A2306" s="4">
        <v>2016.1271999999999</v>
      </c>
      <c r="B2306" s="4">
        <v>1.1993427999999999</v>
      </c>
      <c r="C2306" s="4">
        <v>1.2431368</v>
      </c>
      <c r="D2306" s="4">
        <v>-29.819178999999998</v>
      </c>
      <c r="E2306" s="4">
        <f>((-32.3181549/(10/9))+-10.5)+-0.4</f>
        <v>-39.986339409999999</v>
      </c>
      <c r="F2306" s="4">
        <f>((-1.070325*(1.3/1.5))*0.6)-0.3</f>
        <v>-0.85656899999999991</v>
      </c>
    </row>
    <row r="2307" spans="1:6" x14ac:dyDescent="0.4">
      <c r="A2307" s="4">
        <v>2017.002125</v>
      </c>
      <c r="B2307" s="4">
        <v>1.1996483</v>
      </c>
      <c r="C2307" s="4">
        <v>1.2434082</v>
      </c>
      <c r="D2307" s="4">
        <v>-29.820733000000001</v>
      </c>
      <c r="E2307" s="4">
        <f>((-32.3411958/(10/9))+-10.5)+-0.4</f>
        <v>-40.007076219999995</v>
      </c>
      <c r="F2307" s="4">
        <f>((-1.0705897*(1.3/1.5))*0.6)-0.3</f>
        <v>-0.85670664399999996</v>
      </c>
    </row>
    <row r="2308" spans="1:6" x14ac:dyDescent="0.4">
      <c r="A2308" s="4">
        <v>2017.8770500000001</v>
      </c>
      <c r="B2308" s="4">
        <v>1.1999789000000001</v>
      </c>
      <c r="C2308" s="4">
        <v>1.2435347999999999</v>
      </c>
      <c r="D2308" s="4">
        <v>-29.822521999999999</v>
      </c>
      <c r="E2308" s="4">
        <f>((-32.3274213/(10/9))+-10.5)+-0.4</f>
        <v>-39.994679169999991</v>
      </c>
      <c r="F2308" s="4">
        <f>((-1.0708441*(1.3/1.5))*0.6)-0.3</f>
        <v>-0.85683893200000005</v>
      </c>
    </row>
    <row r="2309" spans="1:6" x14ac:dyDescent="0.4">
      <c r="A2309" s="4">
        <v>2018.7519750000001</v>
      </c>
      <c r="B2309" s="4">
        <v>1.2002084</v>
      </c>
      <c r="C2309" s="4">
        <v>1.2438176000000001</v>
      </c>
      <c r="D2309" s="4">
        <v>-29.824110999999998</v>
      </c>
      <c r="E2309" s="4">
        <f>((-32.3139294/(10/9))+-10.5)+-0.4</f>
        <v>-39.982536459999999</v>
      </c>
      <c r="F2309" s="4">
        <f>((-1.0710329*(1.3/1.5))*0.6)-0.3</f>
        <v>-0.85693710800000011</v>
      </c>
    </row>
    <row r="2310" spans="1:6" x14ac:dyDescent="0.4">
      <c r="A2310" s="4">
        <v>2019.6269</v>
      </c>
      <c r="B2310" s="4">
        <v>1.2003039</v>
      </c>
      <c r="C2310" s="4">
        <v>1.2442512999999999</v>
      </c>
      <c r="D2310" s="4">
        <v>-29.825817999999998</v>
      </c>
      <c r="E2310" s="4">
        <f>((-32.3055927/(10/9))+-10.5)+-0.4</f>
        <v>-39.975033429999996</v>
      </c>
      <c r="F2310" s="4">
        <f>((-1.0711125*(1.3/1.5))*0.6)-0.3</f>
        <v>-0.85697849999999987</v>
      </c>
    </row>
    <row r="2311" spans="1:6" x14ac:dyDescent="0.4">
      <c r="A2311" s="4">
        <v>2020.5018250000001</v>
      </c>
      <c r="B2311" s="4">
        <v>1.2007196</v>
      </c>
      <c r="C2311" s="4">
        <v>1.2446356999999999</v>
      </c>
      <c r="D2311" s="4">
        <v>-29.827165000000001</v>
      </c>
      <c r="E2311" s="4">
        <f>((-32.3180658/(10/9))+-10.5)+-0.4</f>
        <v>-39.986259220000001</v>
      </c>
      <c r="F2311" s="4">
        <f>((-1.0712523*(1.3/1.5))*0.6)-0.3</f>
        <v>-0.85705119600000002</v>
      </c>
    </row>
    <row r="2312" spans="1:6" x14ac:dyDescent="0.4">
      <c r="A2312" s="4">
        <v>2021.3767499999999</v>
      </c>
      <c r="B2312" s="4">
        <v>1.2009217000000001</v>
      </c>
      <c r="C2312" s="4">
        <v>1.2446651</v>
      </c>
      <c r="D2312" s="4">
        <v>-29.829079999999998</v>
      </c>
      <c r="E2312" s="4">
        <f>((-32.3539434/(10/9))+-10.5)+-0.4</f>
        <v>-40.018549059999991</v>
      </c>
      <c r="F2312" s="4">
        <f>((-1.0713936*(1.3/1.5))*0.6)-0.3</f>
        <v>-0.85712467199999987</v>
      </c>
    </row>
    <row r="2313" spans="1:6" x14ac:dyDescent="0.4">
      <c r="A2313" s="4">
        <v>2022.251675</v>
      </c>
      <c r="B2313" s="4">
        <v>1.2014214000000001</v>
      </c>
      <c r="C2313" s="4">
        <v>1.2452639000000001</v>
      </c>
      <c r="D2313" s="4">
        <v>-29.830835999999998</v>
      </c>
      <c r="E2313" s="4">
        <f>((-32.3231337/(10/9))+-10.5)+-0.4</f>
        <v>-39.990820329999998</v>
      </c>
      <c r="F2313" s="4">
        <f>((-1.0715358*(1.3/1.5))*0.6)-0.3</f>
        <v>-0.85719861600000002</v>
      </c>
    </row>
    <row r="2314" spans="1:6" x14ac:dyDescent="0.4">
      <c r="A2314" s="4">
        <v>2023.1266000000001</v>
      </c>
      <c r="B2314" s="4">
        <v>1.2015381999999999</v>
      </c>
      <c r="C2314" s="4">
        <v>1.2455679</v>
      </c>
      <c r="D2314" s="4">
        <v>-29.832252</v>
      </c>
      <c r="E2314" s="4">
        <f>((-32.2829478/(10/9))+-10.5)+-0.4</f>
        <v>-39.954653020000002</v>
      </c>
      <c r="F2314" s="4">
        <f>((-1.0717201*(1.3/1.5))*0.6)-0.3</f>
        <v>-0.8572944520000001</v>
      </c>
    </row>
    <row r="2315" spans="1:6" x14ac:dyDescent="0.4">
      <c r="A2315" s="4">
        <v>2024.0015249999999</v>
      </c>
      <c r="B2315" s="4">
        <v>1.2020134</v>
      </c>
      <c r="C2315" s="4">
        <v>1.2459282</v>
      </c>
      <c r="D2315" s="4">
        <v>-29.833601999999999</v>
      </c>
      <c r="E2315" s="4">
        <f>((-32.3124867/(10/9))+-10.5)+-0.4</f>
        <v>-39.981238029999993</v>
      </c>
      <c r="F2315" s="4">
        <f>((-1.0718744*(1.3/1.5))*0.6)-0.3</f>
        <v>-0.85737468799999994</v>
      </c>
    </row>
    <row r="2316" spans="1:6" x14ac:dyDescent="0.4">
      <c r="A2316" s="4">
        <v>2024.87645</v>
      </c>
      <c r="B2316" s="4">
        <v>1.2018728999999999</v>
      </c>
      <c r="C2316" s="4">
        <v>1.2458799</v>
      </c>
      <c r="D2316" s="4">
        <v>-29.835597</v>
      </c>
      <c r="E2316" s="4">
        <f>((-32.3156934/(10/9))+-10.5)+-0.4</f>
        <v>-39.984124059999999</v>
      </c>
      <c r="F2316" s="4">
        <f>((-1.0720797*(1.3/1.5))*0.6)-0.3</f>
        <v>-0.85748144400000004</v>
      </c>
    </row>
    <row r="2317" spans="1:6" x14ac:dyDescent="0.4">
      <c r="A2317" s="4">
        <v>2025.7513750000001</v>
      </c>
      <c r="B2317" s="4">
        <v>1.2024315999999999</v>
      </c>
      <c r="C2317" s="4">
        <v>1.2461559</v>
      </c>
      <c r="D2317" s="4">
        <v>-29.837607999999999</v>
      </c>
      <c r="E2317" s="4">
        <f>((-32.2833285/(10/9))+-10.5)+-0.4</f>
        <v>-39.954995650000001</v>
      </c>
      <c r="F2317" s="4">
        <f>((-1.0722945*(1.3/1.5))*0.6)-0.3</f>
        <v>-0.85759313999999986</v>
      </c>
    </row>
    <row r="2318" spans="1:6" x14ac:dyDescent="0.4">
      <c r="A2318" s="4">
        <v>2026.6263000000001</v>
      </c>
      <c r="B2318" s="4">
        <v>1.2026203</v>
      </c>
      <c r="C2318" s="4">
        <v>1.2467386</v>
      </c>
      <c r="D2318" s="4">
        <v>-29.839334000000001</v>
      </c>
      <c r="E2318" s="4">
        <f>((-32.3274492/(10/9))+-10.5)+-0.4</f>
        <v>-39.994704279999993</v>
      </c>
      <c r="F2318" s="4">
        <f>((-1.0724982*(1.3/1.5))*0.6)-0.3</f>
        <v>-0.85769906399999996</v>
      </c>
    </row>
    <row r="2319" spans="1:6" x14ac:dyDescent="0.4">
      <c r="A2319" s="4">
        <v>2027.5012250000002</v>
      </c>
      <c r="B2319" s="4">
        <v>1.2029301999999999</v>
      </c>
      <c r="C2319" s="4">
        <v>1.2469132999999999</v>
      </c>
      <c r="D2319" s="4">
        <v>-29.841446999999999</v>
      </c>
      <c r="E2319" s="4">
        <f>((-32.2935183/(10/9))+-10.5)+-0.4</f>
        <v>-39.964166470000002</v>
      </c>
      <c r="F2319" s="4">
        <f>((-1.0726202*(1.3/1.5))*0.6)-0.3</f>
        <v>-0.85776250399999987</v>
      </c>
    </row>
    <row r="2320" spans="1:6" x14ac:dyDescent="0.4">
      <c r="A2320" s="4">
        <v>2028.3761499999998</v>
      </c>
      <c r="B2320" s="4">
        <v>1.2033427000000001</v>
      </c>
      <c r="C2320" s="4">
        <v>1.2473987</v>
      </c>
      <c r="D2320" s="4">
        <v>-29.843599999999999</v>
      </c>
      <c r="E2320" s="4">
        <f>((-32.3136855/(10/9))+-10.5)+-0.4</f>
        <v>-39.982316949999991</v>
      </c>
      <c r="F2320" s="4">
        <f>((-1.0726964*(1.3/1.5))*0.6)-0.3</f>
        <v>-0.85780212800000011</v>
      </c>
    </row>
    <row r="2321" spans="1:6" x14ac:dyDescent="0.4">
      <c r="A2321" s="4">
        <v>2029.2510749999999</v>
      </c>
      <c r="B2321" s="4">
        <v>1.2036529</v>
      </c>
      <c r="C2321" s="4">
        <v>1.2478349</v>
      </c>
      <c r="D2321" s="4">
        <v>-29.845824</v>
      </c>
      <c r="E2321" s="4">
        <f>((-32.2982388/(10/9))+-10.5)+-0.4</f>
        <v>-39.968414919999994</v>
      </c>
      <c r="F2321" s="4">
        <f>((-1.0726954*(1.3/1.5))*0.6)-0.3</f>
        <v>-0.85780160799999994</v>
      </c>
    </row>
    <row r="2322" spans="1:6" x14ac:dyDescent="0.4">
      <c r="A2322" s="4">
        <v>2030.126</v>
      </c>
      <c r="B2322" s="4">
        <v>1.2039466999999999</v>
      </c>
      <c r="C2322" s="4">
        <v>1.2480366000000001</v>
      </c>
      <c r="D2322" s="4">
        <v>-29.848082999999999</v>
      </c>
      <c r="E2322" s="4">
        <f>((-32.3004537/(10/9))+-10.5)+-0.4</f>
        <v>-39.970408329999991</v>
      </c>
      <c r="F2322" s="4">
        <f>((-1.0726594*(1.3/1.5))*0.6)-0.3</f>
        <v>-0.85778288800000002</v>
      </c>
    </row>
    <row r="2323" spans="1:6" x14ac:dyDescent="0.4">
      <c r="A2323" s="4">
        <v>2031.0009250000001</v>
      </c>
      <c r="B2323" s="4">
        <v>1.2041913</v>
      </c>
      <c r="C2323" s="4">
        <v>1.2482141</v>
      </c>
      <c r="D2323" s="4">
        <v>-29.850200000000001</v>
      </c>
      <c r="E2323" s="4">
        <f>((-32.2819515/(10/9))+-10.5)+-0.4</f>
        <v>-39.953756349999999</v>
      </c>
      <c r="F2323" s="4">
        <f>((-1.072647*(1.3/1.5))*0.6)-0.3</f>
        <v>-0.85777643999999986</v>
      </c>
    </row>
    <row r="2324" spans="1:6" x14ac:dyDescent="0.4">
      <c r="A2324" s="4">
        <v>2031.8758500000001</v>
      </c>
      <c r="B2324" s="4">
        <v>1.2040546999999999</v>
      </c>
      <c r="C2324" s="4">
        <v>1.2484518</v>
      </c>
      <c r="D2324" s="4">
        <v>-29.852553999999998</v>
      </c>
      <c r="E2324" s="4">
        <f>((-32.3039592/(10/9))+-10.5)+-0.4</f>
        <v>-39.97356328</v>
      </c>
      <c r="F2324" s="4">
        <f>((-1.0726868*(1.3/1.5))*0.6)-0.3</f>
        <v>-0.85779713600000007</v>
      </c>
    </row>
    <row r="2325" spans="1:6" x14ac:dyDescent="0.4">
      <c r="A2325" s="4">
        <v>2032.750775</v>
      </c>
      <c r="B2325" s="4">
        <v>1.2047106999999999</v>
      </c>
      <c r="C2325" s="4">
        <v>1.2486417999999999</v>
      </c>
      <c r="D2325" s="4">
        <v>-29.854793000000001</v>
      </c>
      <c r="E2325" s="4">
        <f>((-32.2639209/(10/9))+-10.5)+-0.4</f>
        <v>-39.937528809999996</v>
      </c>
      <c r="F2325" s="4">
        <f>((-1.072683*(1.3/1.5))*0.6)-0.3</f>
        <v>-0.85779516</v>
      </c>
    </row>
    <row r="2326" spans="1:6" x14ac:dyDescent="0.4">
      <c r="A2326" s="4">
        <v>2033.6257000000001</v>
      </c>
      <c r="B2326" s="4">
        <v>1.2048839</v>
      </c>
      <c r="C2326" s="4">
        <v>1.2490152999999999</v>
      </c>
      <c r="D2326" s="4">
        <v>-29.856947999999999</v>
      </c>
      <c r="E2326" s="4">
        <f>((-32.2877097/(10/9))+-10.5)+-0.4</f>
        <v>-39.958938729999993</v>
      </c>
      <c r="F2326" s="4">
        <f>((-1.0726302*(1.3/1.5))*0.6)-0.3</f>
        <v>-0.85776770400000002</v>
      </c>
    </row>
    <row r="2327" spans="1:6" x14ac:dyDescent="0.4">
      <c r="A2327" s="4">
        <v>2034.5006249999999</v>
      </c>
      <c r="B2327" s="4">
        <v>1.2051655999999999</v>
      </c>
      <c r="C2327" s="4">
        <v>1.2494651999999999</v>
      </c>
      <c r="D2327" s="4">
        <v>-29.859451</v>
      </c>
      <c r="E2327" s="4">
        <f>((-32.3009613/(10/9))+-10.5)+-0.4</f>
        <v>-39.970865169999996</v>
      </c>
      <c r="F2327" s="4">
        <f>((-1.0726126*(1.3/1.5))*0.6)-0.3</f>
        <v>-0.85775855199999995</v>
      </c>
    </row>
    <row r="2328" spans="1:6" x14ac:dyDescent="0.4">
      <c r="A2328" s="4">
        <v>2035.37555</v>
      </c>
      <c r="B2328" s="4">
        <v>1.2054210999999999</v>
      </c>
      <c r="C2328" s="4">
        <v>1.2498218000000001</v>
      </c>
      <c r="D2328" s="4">
        <v>-29.861901</v>
      </c>
      <c r="E2328" s="4">
        <f>((-32.2618437/(10/9))+-10.5)+-0.4</f>
        <v>-39.93565933</v>
      </c>
      <c r="F2328" s="4">
        <f>((-1.0726143*(1.3/1.5))*0.6)-0.3</f>
        <v>-0.85775943599999982</v>
      </c>
    </row>
    <row r="2329" spans="1:6" x14ac:dyDescent="0.4">
      <c r="A2329" s="4">
        <v>2036.2504750000001</v>
      </c>
      <c r="B2329" s="4">
        <v>1.2054826000000001</v>
      </c>
      <c r="C2329" s="4">
        <v>1.2498005999999999</v>
      </c>
      <c r="D2329" s="4">
        <v>-29.864515000000001</v>
      </c>
      <c r="E2329" s="4">
        <f>((-32.2496451/(10/9))+-10.5)+-0.4</f>
        <v>-39.924680590000001</v>
      </c>
      <c r="F2329" s="4">
        <f>((-1.0725557*(1.3/1.5))*0.6)-0.3</f>
        <v>-0.85772896399999987</v>
      </c>
    </row>
    <row r="2330" spans="1:6" x14ac:dyDescent="0.4">
      <c r="A2330" s="4">
        <v>2037.1253999999999</v>
      </c>
      <c r="B2330" s="4">
        <v>1.2058419</v>
      </c>
      <c r="C2330" s="4">
        <v>1.2498657</v>
      </c>
      <c r="D2330" s="4">
        <v>-29.867114000000001</v>
      </c>
      <c r="E2330" s="4">
        <f>((-32.2901676/(10/9))+-10.5)+-0.4</f>
        <v>-39.961150839999995</v>
      </c>
      <c r="F2330" s="4">
        <f>((-1.0724391*(1.3/1.5))*0.6)-0.3</f>
        <v>-0.85766833200000003</v>
      </c>
    </row>
    <row r="2331" spans="1:6" x14ac:dyDescent="0.4">
      <c r="A2331" s="4">
        <v>2038.000325</v>
      </c>
      <c r="B2331" s="4">
        <v>1.2060949999999999</v>
      </c>
      <c r="C2331" s="4">
        <v>1.2502298000000001</v>
      </c>
      <c r="D2331" s="4">
        <v>-29.869630000000001</v>
      </c>
      <c r="E2331" s="4">
        <f>((-32.2728471/(10/9))+-10.5)+-0.4</f>
        <v>-39.945562389999999</v>
      </c>
      <c r="F2331" s="4">
        <f>((-1.0723108*(1.3/1.5))*0.6)-0.3</f>
        <v>-0.85760161599999996</v>
      </c>
    </row>
    <row r="2332" spans="1:6" x14ac:dyDescent="0.4">
      <c r="A2332" s="4">
        <v>2038.8752500000001</v>
      </c>
      <c r="B2332" s="4">
        <v>1.2064265000000001</v>
      </c>
      <c r="C2332" s="4">
        <v>1.2505145</v>
      </c>
      <c r="D2332" s="4">
        <v>-29.872115000000001</v>
      </c>
      <c r="E2332" s="4">
        <f>((-32.2601994/(10/9))+-10.5)+-0.4</f>
        <v>-39.934179459999996</v>
      </c>
      <c r="F2332" s="4">
        <f>((-1.0721701*(1.3/1.5))*0.6)-0.3</f>
        <v>-0.85752845199999994</v>
      </c>
    </row>
    <row r="2333" spans="1:6" x14ac:dyDescent="0.4">
      <c r="A2333" s="4">
        <v>2039.7501750000001</v>
      </c>
      <c r="B2333" s="4">
        <v>1.2064716</v>
      </c>
      <c r="C2333" s="4">
        <v>1.2505206</v>
      </c>
      <c r="D2333" s="4">
        <v>-29.874991999999999</v>
      </c>
      <c r="E2333" s="4">
        <f>((-32.2886745/(10/9))+-10.5)+-0.4</f>
        <v>-39.959807049999995</v>
      </c>
      <c r="F2333" s="4">
        <f>((-1.0720208*(1.3/1.5))*0.6)-0.3</f>
        <v>-0.85745081600000006</v>
      </c>
    </row>
    <row r="2334" spans="1:6" x14ac:dyDescent="0.4">
      <c r="A2334" s="4">
        <v>2040.6251000000002</v>
      </c>
      <c r="B2334" s="4">
        <v>1.2069007</v>
      </c>
      <c r="C2334" s="4">
        <v>1.2510490000000001</v>
      </c>
      <c r="D2334" s="4">
        <v>-29.877347</v>
      </c>
      <c r="E2334" s="4">
        <f>((-32.2476642/(10/9))+-10.5)+-0.4</f>
        <v>-39.92289778</v>
      </c>
      <c r="F2334" s="4">
        <f>((-1.0718498*(1.3/1.5))*0.6)-0.3</f>
        <v>-0.85736189600000001</v>
      </c>
    </row>
    <row r="2335" spans="1:6" x14ac:dyDescent="0.4">
      <c r="A2335" s="4">
        <v>2041.5000249999998</v>
      </c>
      <c r="B2335" s="4">
        <v>1.2074422</v>
      </c>
      <c r="C2335" s="4">
        <v>1.2515352</v>
      </c>
      <c r="D2335" s="4">
        <v>-29.880025</v>
      </c>
      <c r="E2335" s="4">
        <f>((-32.275233/(10/9))+-10.5)+-0.4</f>
        <v>-39.947709699999997</v>
      </c>
      <c r="F2335" s="4">
        <f>((-1.0715756*(1.3/1.5))*0.6)-0.3</f>
        <v>-0.85721931200000001</v>
      </c>
    </row>
    <row r="2336" spans="1:6" x14ac:dyDescent="0.4">
      <c r="A2336" s="4">
        <v>2042.3749499999999</v>
      </c>
      <c r="B2336" s="4">
        <v>1.2075828</v>
      </c>
      <c r="C2336" s="4">
        <v>1.2516186</v>
      </c>
      <c r="D2336" s="4">
        <v>-29.882632000000001</v>
      </c>
      <c r="E2336" s="4">
        <f>((-32.2449624/(10/9))+-10.5)+-0.4</f>
        <v>-39.920466159999997</v>
      </c>
      <c r="F2336" s="4">
        <f>((-1.0713764*(1.3/1.5))*0.6)-0.3</f>
        <v>-0.85711572799999991</v>
      </c>
    </row>
    <row r="2337" spans="1:6" x14ac:dyDescent="0.4">
      <c r="A2337" s="4">
        <v>2043.249875</v>
      </c>
      <c r="B2337" s="4">
        <v>1.2077365</v>
      </c>
      <c r="C2337" s="4">
        <v>1.251852</v>
      </c>
      <c r="D2337" s="4">
        <v>-29.885704999999998</v>
      </c>
      <c r="E2337" s="4">
        <f>((-32.2410825/(10/9))+-10.5)+-0.4</f>
        <v>-39.916974249999996</v>
      </c>
      <c r="F2337" s="4">
        <f>((-1.0712206*(1.3/1.5))*0.6)-0.3</f>
        <v>-0.85703471199999992</v>
      </c>
    </row>
    <row r="2338" spans="1:6" x14ac:dyDescent="0.4">
      <c r="A2338" s="4">
        <v>2044.1248000000001</v>
      </c>
      <c r="B2338" s="4">
        <v>1.2077914000000001</v>
      </c>
      <c r="C2338" s="4">
        <v>1.2519511000000001</v>
      </c>
      <c r="D2338" s="4">
        <v>-29.888819999999999</v>
      </c>
      <c r="E2338" s="4">
        <f>((-32.2367499/(10/9))+-10.5)+-0.4</f>
        <v>-39.913074909999999</v>
      </c>
      <c r="F2338" s="4">
        <f>((-1.07098*(1.3/1.5))*0.6)-0.3</f>
        <v>-0.85690960000000005</v>
      </c>
    </row>
    <row r="2339" spans="1:6" x14ac:dyDescent="0.4">
      <c r="A2339" s="4">
        <v>2044.9997250000001</v>
      </c>
      <c r="B2339" s="4">
        <v>1.2079755000000001</v>
      </c>
      <c r="C2339" s="4">
        <v>1.2522746</v>
      </c>
      <c r="D2339" s="4">
        <v>-29.891712999999999</v>
      </c>
      <c r="E2339" s="4">
        <f>((-32.250744/(10/9))+-10.5)+-0.4</f>
        <v>-39.925669599999999</v>
      </c>
      <c r="F2339" s="4">
        <f>((-1.0707388*(1.3/1.5))*0.6)-0.3</f>
        <v>-0.8567841759999999</v>
      </c>
    </row>
    <row r="2340" spans="1:6" x14ac:dyDescent="0.4">
      <c r="A2340" s="4">
        <v>2045.87465</v>
      </c>
      <c r="B2340" s="4">
        <v>1.2083440000000001</v>
      </c>
      <c r="C2340" s="4">
        <v>1.2527117000000001</v>
      </c>
      <c r="D2340" s="4">
        <v>-29.894663999999999</v>
      </c>
      <c r="E2340" s="4">
        <f>((-32.2387686/(10/9))+-10.5)+-0.4</f>
        <v>-39.914891739999995</v>
      </c>
      <c r="F2340" s="4">
        <f>((-1.0705307*(1.3/1.5))*0.6)-0.3</f>
        <v>-0.8566759639999999</v>
      </c>
    </row>
    <row r="2341" spans="1:6" x14ac:dyDescent="0.4">
      <c r="A2341" s="4">
        <v>2046.749575</v>
      </c>
      <c r="B2341" s="4">
        <v>1.2087865</v>
      </c>
      <c r="C2341" s="4">
        <v>1.2528018999999999</v>
      </c>
      <c r="D2341" s="4">
        <v>-29.897473999999999</v>
      </c>
      <c r="E2341" s="4">
        <f>((-32.2362828/(10/9))+-10.5)+-0.4</f>
        <v>-39.912654519999997</v>
      </c>
      <c r="F2341" s="4">
        <f>((-1.0702323*(1.3/1.5))*0.6)-0.3</f>
        <v>-0.85652079600000008</v>
      </c>
    </row>
    <row r="2342" spans="1:6" x14ac:dyDescent="0.4">
      <c r="A2342" s="4">
        <v>2047.6244999999999</v>
      </c>
      <c r="B2342" s="4">
        <v>1.2089196</v>
      </c>
      <c r="C2342" s="4">
        <v>1.2529982</v>
      </c>
      <c r="D2342" s="4">
        <v>-29.900600000000001</v>
      </c>
      <c r="E2342" s="4">
        <f>((-32.2522713/(10/9))+-10.5)+-0.4</f>
        <v>-39.927044169999995</v>
      </c>
      <c r="F2342" s="4">
        <f>((-1.0699971*(1.3/1.5))*0.6)-0.3</f>
        <v>-0.85639849200000007</v>
      </c>
    </row>
    <row r="2343" spans="1:6" x14ac:dyDescent="0.4">
      <c r="A2343" s="4">
        <v>2048.499425</v>
      </c>
      <c r="B2343" s="4">
        <v>1.2092569</v>
      </c>
      <c r="C2343" s="4">
        <v>1.253333</v>
      </c>
      <c r="D2343" s="4">
        <v>-29.903558</v>
      </c>
      <c r="E2343" s="4">
        <f>((-32.2459371/(10/9))+-10.5)+-0.4</f>
        <v>-39.921343389999997</v>
      </c>
      <c r="F2343" s="4">
        <f>((-1.0698146*(1.3/1.5))*0.6)-0.3</f>
        <v>-0.85630359199999995</v>
      </c>
    </row>
    <row r="2344" spans="1:6" x14ac:dyDescent="0.4">
      <c r="A2344" s="4">
        <v>2049.37435</v>
      </c>
      <c r="B2344" s="4">
        <v>1.2097093000000001</v>
      </c>
      <c r="C2344" s="4">
        <v>1.2537487</v>
      </c>
      <c r="D2344" s="4">
        <v>-29.906569999999999</v>
      </c>
      <c r="E2344" s="4">
        <f>((-32.2154019/(10/9))+-10.5)+-0.4</f>
        <v>-39.893861710000003</v>
      </c>
      <c r="F2344" s="4">
        <f>((-1.0696433*(1.3/1.5))*0.6)-0.3</f>
        <v>-0.85621451600000009</v>
      </c>
    </row>
    <row r="2345" spans="1:6" x14ac:dyDescent="0.4">
      <c r="A2345" s="4">
        <v>2050.2492750000001</v>
      </c>
      <c r="B2345" s="4">
        <v>1.2100325000000001</v>
      </c>
      <c r="C2345" s="4">
        <v>1.2539841</v>
      </c>
      <c r="D2345" s="4">
        <v>-29.909365999999999</v>
      </c>
      <c r="E2345" s="4">
        <f>((-32.203386/(10/9))+-10.5)+-0.4</f>
        <v>-39.883047400000002</v>
      </c>
      <c r="F2345" s="4">
        <f>((-1.0695138*(1.3/1.5))*0.6)-0.3</f>
        <v>-0.8561471759999999</v>
      </c>
    </row>
    <row r="2346" spans="1:6" x14ac:dyDescent="0.4">
      <c r="A2346" s="4">
        <v>2051.1241999999997</v>
      </c>
      <c r="B2346" s="4">
        <v>1.2100651</v>
      </c>
      <c r="C2346" s="4">
        <v>1.2543378000000001</v>
      </c>
      <c r="D2346" s="4">
        <v>-29.912611999999999</v>
      </c>
      <c r="E2346" s="4">
        <f>((-32.2291107/(10/9))+-10.5)+-0.4</f>
        <v>-39.906199629999996</v>
      </c>
      <c r="F2346" s="4">
        <f>((-1.0693239*(1.3/1.5))*0.6)-0.3</f>
        <v>-0.85604842800000003</v>
      </c>
    </row>
    <row r="2347" spans="1:6" x14ac:dyDescent="0.4">
      <c r="A2347" s="4">
        <v>2051.9991249999998</v>
      </c>
      <c r="B2347" s="4">
        <v>1.2103276999999999</v>
      </c>
      <c r="C2347" s="4">
        <v>1.254434</v>
      </c>
      <c r="D2347" s="4">
        <v>-29.915599</v>
      </c>
      <c r="E2347" s="4">
        <f>((-32.2096068/(10/9))+-10.5)+-0.4</f>
        <v>-39.888646119999997</v>
      </c>
      <c r="F2347" s="4">
        <f>((-1.0690789*(1.3/1.5))*0.6)-0.3</f>
        <v>-0.85592102800000003</v>
      </c>
    </row>
    <row r="2348" spans="1:6" x14ac:dyDescent="0.4">
      <c r="A2348" s="4">
        <v>2052.8740499999999</v>
      </c>
      <c r="B2348" s="4">
        <v>1.2104636</v>
      </c>
      <c r="C2348" s="4">
        <v>1.2547504</v>
      </c>
      <c r="D2348" s="4">
        <v>-29.918621999999999</v>
      </c>
      <c r="E2348" s="4">
        <f>((-32.1898311/(10/9))+-10.5)+-0.4</f>
        <v>-39.870847989999994</v>
      </c>
      <c r="F2348" s="4">
        <f>((-1.0688469*(1.3/1.5))*0.6)-0.3</f>
        <v>-0.85580038800000002</v>
      </c>
    </row>
    <row r="2349" spans="1:6" x14ac:dyDescent="0.4">
      <c r="A2349" s="4">
        <v>2053.748975</v>
      </c>
      <c r="B2349" s="4">
        <v>1.2108067</v>
      </c>
      <c r="C2349" s="4">
        <v>1.2550079999999999</v>
      </c>
      <c r="D2349" s="4">
        <v>-29.921989</v>
      </c>
      <c r="E2349" s="4">
        <f>((-32.2098678/(10/9))+-10.5)+-0.4</f>
        <v>-39.888881019999992</v>
      </c>
      <c r="F2349" s="4">
        <f>((-1.0686709*(1.3/1.5))*0.6)-0.3</f>
        <v>-0.85570886800000001</v>
      </c>
    </row>
    <row r="2350" spans="1:6" x14ac:dyDescent="0.4">
      <c r="A2350" s="4">
        <v>2054.6239</v>
      </c>
      <c r="B2350" s="4">
        <v>1.211074</v>
      </c>
      <c r="C2350" s="4">
        <v>1.2552509000000001</v>
      </c>
      <c r="D2350" s="4">
        <v>-29.925428</v>
      </c>
      <c r="E2350" s="4">
        <f>((-32.2027641/(10/9))+-10.5)+-0.4</f>
        <v>-39.882487689999998</v>
      </c>
      <c r="F2350" s="4">
        <f>((-1.0684619*(1.3/1.5))*0.6)-0.3</f>
        <v>-0.85560018799999993</v>
      </c>
    </row>
    <row r="2351" spans="1:6" x14ac:dyDescent="0.4">
      <c r="A2351" s="4">
        <v>2055.4988250000001</v>
      </c>
      <c r="B2351" s="4">
        <v>1.2112662999999999</v>
      </c>
      <c r="C2351" s="4">
        <v>1.2553622</v>
      </c>
      <c r="D2351" s="4">
        <v>-29.928774999999998</v>
      </c>
      <c r="E2351" s="4">
        <f>((-32.1745671/(10/9))+-10.5)+-0.4</f>
        <v>-39.857110389999995</v>
      </c>
      <c r="F2351" s="4">
        <f>((-1.0682789*(1.3/1.5))*0.6)-0.3</f>
        <v>-0.85550502800000006</v>
      </c>
    </row>
    <row r="2352" spans="1:6" x14ac:dyDescent="0.4">
      <c r="A2352" s="4">
        <v>2056.3737500000002</v>
      </c>
      <c r="B2352" s="4">
        <v>1.2115912</v>
      </c>
      <c r="C2352" s="4">
        <v>1.2557813</v>
      </c>
      <c r="D2352" s="4">
        <v>-29.932265000000001</v>
      </c>
      <c r="E2352" s="4">
        <f>((-32.1998049/(10/9))+-10.5)+-0.4</f>
        <v>-39.879824409999991</v>
      </c>
      <c r="F2352" s="4">
        <f>((-1.0681126*(1.3/1.5))*0.6)-0.3</f>
        <v>-0.85541855199999994</v>
      </c>
    </row>
    <row r="2353" spans="1:6" x14ac:dyDescent="0.4">
      <c r="A2353" s="4">
        <v>2057.2486749999998</v>
      </c>
      <c r="B2353" s="4">
        <v>1.2118498</v>
      </c>
      <c r="C2353" s="4">
        <v>1.2558762000000001</v>
      </c>
      <c r="D2353" s="4">
        <v>-29.935497999999999</v>
      </c>
      <c r="E2353" s="4">
        <f>((-32.1750756/(10/9))+-10.5)+-0.4</f>
        <v>-39.857568039999997</v>
      </c>
      <c r="F2353" s="4">
        <f>((-1.0679407*(1.3/1.5))*0.6)-0.3</f>
        <v>-0.85532916400000003</v>
      </c>
    </row>
    <row r="2354" spans="1:6" x14ac:dyDescent="0.4">
      <c r="A2354" s="4">
        <v>2058.1235999999999</v>
      </c>
      <c r="B2354" s="4">
        <v>1.2120925</v>
      </c>
      <c r="C2354" s="4">
        <v>1.2562667999999999</v>
      </c>
      <c r="D2354" s="4">
        <v>-29.939124</v>
      </c>
      <c r="E2354" s="4">
        <f>((-32.2093773/(10/9))+-10.5)+-0.4</f>
        <v>-39.888439569999996</v>
      </c>
      <c r="F2354" s="4">
        <f>((-1.0677971*(1.3/1.5))*0.6)-0.3</f>
        <v>-0.85525449200000003</v>
      </c>
    </row>
    <row r="2355" spans="1:6" x14ac:dyDescent="0.4">
      <c r="A2355" s="4">
        <v>2058.998525</v>
      </c>
      <c r="B2355" s="4">
        <v>1.2124276</v>
      </c>
      <c r="C2355" s="4">
        <v>1.2565211999999999</v>
      </c>
      <c r="D2355" s="4">
        <v>-29.942961999999998</v>
      </c>
      <c r="E2355" s="4">
        <f>((-32.1782688/(10/9))+-10.5)+-0.4</f>
        <v>-39.860441919999992</v>
      </c>
      <c r="F2355" s="4">
        <f>((-1.0676627*(1.3/1.5))*0.6)-0.3</f>
        <v>-0.85518460399999996</v>
      </c>
    </row>
    <row r="2356" spans="1:6" x14ac:dyDescent="0.4">
      <c r="A2356" s="4">
        <v>2059.87345</v>
      </c>
      <c r="B2356" s="4">
        <v>1.2128338999999999</v>
      </c>
      <c r="C2356" s="4">
        <v>1.2568524000000001</v>
      </c>
      <c r="D2356" s="4">
        <v>-29.946346999999999</v>
      </c>
      <c r="E2356" s="4">
        <f>((-32.1703551/(10/9))+-10.5)+-0.4</f>
        <v>-39.853319589999998</v>
      </c>
      <c r="F2356" s="4">
        <f>((-1.067517*(1.3/1.5))*0.6)-0.3</f>
        <v>-0.85510883999999998</v>
      </c>
    </row>
    <row r="2357" spans="1:6" x14ac:dyDescent="0.4">
      <c r="A2357" s="4">
        <v>2060.7483750000001</v>
      </c>
      <c r="B2357" s="4">
        <v>1.2130243000000001</v>
      </c>
      <c r="C2357" s="4">
        <v>1.2570739</v>
      </c>
      <c r="D2357" s="4">
        <v>-29.949705999999999</v>
      </c>
      <c r="E2357" s="4">
        <f>((-32.1539067/(10/9))+-10.5)+-0.4</f>
        <v>-39.838516030000001</v>
      </c>
      <c r="F2357" s="4">
        <f>((-1.0674287*(1.3/1.5))*0.6)-0.3</f>
        <v>-0.85506292400000006</v>
      </c>
    </row>
    <row r="2358" spans="1:6" x14ac:dyDescent="0.4">
      <c r="A2358" s="4">
        <v>2061.6233000000002</v>
      </c>
      <c r="B2358" s="4">
        <v>1.2130504</v>
      </c>
      <c r="C2358" s="4">
        <v>1.2571816</v>
      </c>
      <c r="D2358" s="4">
        <v>-29.953272999999999</v>
      </c>
      <c r="E2358" s="4">
        <f>((-32.1621696/(10/9))+-10.5)+-0.4</f>
        <v>-39.84595264</v>
      </c>
      <c r="F2358" s="4">
        <f>((-1.067328*(1.3/1.5))*0.6)-0.3</f>
        <v>-0.85501055999999998</v>
      </c>
    </row>
    <row r="2359" spans="1:6" x14ac:dyDescent="0.4">
      <c r="A2359" s="4">
        <v>2062.4982250000003</v>
      </c>
      <c r="B2359" s="4">
        <v>1.2134285</v>
      </c>
      <c r="C2359" s="4">
        <v>1.2574270999999999</v>
      </c>
      <c r="D2359" s="4">
        <v>-29.956621999999999</v>
      </c>
      <c r="E2359" s="4">
        <f>((-32.1280227/(10/9))+-10.5)+-0.4</f>
        <v>-39.815220430000004</v>
      </c>
      <c r="F2359" s="4">
        <f>((-1.0671731*(1.3/1.5))*0.6)-0.3</f>
        <v>-0.85493001200000007</v>
      </c>
    </row>
    <row r="2360" spans="1:6" x14ac:dyDescent="0.4">
      <c r="A2360" s="4">
        <v>2063.3731499999999</v>
      </c>
      <c r="B2360" s="4">
        <v>1.2135997999999999</v>
      </c>
      <c r="C2360" s="4">
        <v>1.2575756</v>
      </c>
      <c r="D2360" s="4">
        <v>-29.959947</v>
      </c>
      <c r="E2360" s="4">
        <f>((-32.1589566/(10/9))+-10.5)+-0.4</f>
        <v>-39.843060940000001</v>
      </c>
      <c r="F2360" s="4">
        <f>((-1.0671203*(1.3/1.5))*0.6)-0.3</f>
        <v>-0.85490255600000009</v>
      </c>
    </row>
    <row r="2361" spans="1:6" x14ac:dyDescent="0.4">
      <c r="A2361" s="4">
        <v>2064.248075</v>
      </c>
      <c r="B2361" s="4">
        <v>1.2140058</v>
      </c>
      <c r="C2361" s="4">
        <v>1.2581211000000001</v>
      </c>
      <c r="D2361" s="4">
        <v>-29.963241</v>
      </c>
      <c r="E2361" s="4">
        <f>((-32.1553107/(10/9))+-10.5)+-0.4</f>
        <v>-39.839779630000002</v>
      </c>
      <c r="F2361" s="4">
        <f>((-1.0671345*(1.3/1.5))*0.6)-0.3</f>
        <v>-0.85490993999999998</v>
      </c>
    </row>
    <row r="2362" spans="1:6" x14ac:dyDescent="0.4">
      <c r="A2362" s="4">
        <v>2065.123</v>
      </c>
      <c r="B2362" s="4">
        <v>1.2140481000000001</v>
      </c>
      <c r="C2362" s="4">
        <v>1.2581941999999999</v>
      </c>
      <c r="D2362" s="4">
        <v>-29.966455</v>
      </c>
      <c r="E2362" s="4">
        <f>((-32.1125463/(10/9))+-10.5)+-0.4</f>
        <v>-39.801291669999991</v>
      </c>
      <c r="F2362" s="4">
        <f>((-1.0672127*(1.3/1.5))*0.6)-0.3</f>
        <v>-0.85495060400000011</v>
      </c>
    </row>
    <row r="2363" spans="1:6" x14ac:dyDescent="0.4">
      <c r="A2363" s="4">
        <v>2065.9979250000001</v>
      </c>
      <c r="B2363" s="4">
        <v>1.2140945999999999</v>
      </c>
      <c r="C2363" s="4">
        <v>1.2582171</v>
      </c>
      <c r="D2363" s="4">
        <v>-29.970137999999999</v>
      </c>
      <c r="E2363" s="4">
        <f>((-32.1106788/(10/9))+-10.5)+-0.4</f>
        <v>-39.799610919999999</v>
      </c>
      <c r="F2363" s="4">
        <f>((-1.0672867*(1.3/1.5))*0.6)-0.3</f>
        <v>-0.85498908399999984</v>
      </c>
    </row>
    <row r="2364" spans="1:6" x14ac:dyDescent="0.4">
      <c r="A2364" s="4">
        <v>2066.8728500000002</v>
      </c>
      <c r="B2364" s="4">
        <v>1.2142109000000001</v>
      </c>
      <c r="C2364" s="4">
        <v>1.2584199</v>
      </c>
      <c r="D2364" s="4">
        <v>-29.973474</v>
      </c>
      <c r="E2364" s="4">
        <f>((-32.1185745/(10/9))+-10.5)+-0.4</f>
        <v>-39.806717049999996</v>
      </c>
      <c r="F2364" s="4">
        <f>((-1.0672816*(1.3/1.5))*0.6)-0.3</f>
        <v>-0.85498643200000002</v>
      </c>
    </row>
    <row r="2365" spans="1:6" x14ac:dyDescent="0.4">
      <c r="A2365" s="4">
        <v>2067.7477749999998</v>
      </c>
      <c r="B2365" s="4">
        <v>1.2149285000000001</v>
      </c>
      <c r="C2365" s="4">
        <v>1.2589703999999999</v>
      </c>
      <c r="D2365" s="4">
        <v>-29.976585</v>
      </c>
      <c r="E2365" s="4">
        <f>((-32.1043338/(10/9))+-10.5)+-0.4</f>
        <v>-39.793900419999993</v>
      </c>
      <c r="F2365" s="4">
        <f>((-1.0673553*(1.3/1.5))*0.6)-0.3</f>
        <v>-0.85502475599999994</v>
      </c>
    </row>
    <row r="2366" spans="1:6" x14ac:dyDescent="0.4">
      <c r="A2366" s="4">
        <v>2068.6226999999999</v>
      </c>
      <c r="B2366" s="4">
        <v>1.2148258999999999</v>
      </c>
      <c r="C2366" s="4">
        <v>1.2590954999999999</v>
      </c>
      <c r="D2366" s="4">
        <v>-29.980014000000001</v>
      </c>
      <c r="E2366" s="4">
        <f>((-32.0880537/(10/9))+-10.5)+-0.4</f>
        <v>-39.779248330000001</v>
      </c>
      <c r="F2366" s="4">
        <f>((-1.0674725*(1.3/1.5))*0.6)-0.3</f>
        <v>-0.85508570000000006</v>
      </c>
    </row>
    <row r="2367" spans="1:6" x14ac:dyDescent="0.4">
      <c r="A2367" s="4">
        <v>2069.497625</v>
      </c>
      <c r="B2367" s="4">
        <v>1.215241</v>
      </c>
      <c r="C2367" s="4">
        <v>1.2591234</v>
      </c>
      <c r="D2367" s="4">
        <v>-29.983015999999999</v>
      </c>
      <c r="E2367" s="4">
        <f>((-32.1113754/(10/9))+-10.5)+-0.4</f>
        <v>-39.800237859999996</v>
      </c>
      <c r="F2367" s="4">
        <f>((-1.06756*(1.3/1.5))*0.6)-0.3</f>
        <v>-0.85513119999999998</v>
      </c>
    </row>
    <row r="2368" spans="1:6" x14ac:dyDescent="0.4">
      <c r="A2368" s="4">
        <v>2070.37255</v>
      </c>
      <c r="B2368" s="4">
        <v>1.215392</v>
      </c>
      <c r="C2368" s="4">
        <v>1.2596103999999999</v>
      </c>
      <c r="D2368" s="4">
        <v>-29.986042999999999</v>
      </c>
      <c r="E2368" s="4">
        <f>((-32.0884587/(10/9))+-10.5)+-0.4</f>
        <v>-39.779612829999998</v>
      </c>
      <c r="F2368" s="4">
        <f>((-1.0676212*(1.3/1.5))*0.6)-0.3</f>
        <v>-0.85516302399999988</v>
      </c>
    </row>
    <row r="2369" spans="1:6" x14ac:dyDescent="0.4">
      <c r="A2369" s="4">
        <v>2071.2474750000001</v>
      </c>
      <c r="B2369" s="4">
        <v>1.2156631</v>
      </c>
      <c r="C2369" s="4">
        <v>1.2596124</v>
      </c>
      <c r="D2369" s="4">
        <v>-29.989159999999998</v>
      </c>
      <c r="E2369" s="4">
        <f>((-32.1218676/(10/9))+-10.5)+-0.4</f>
        <v>-39.809680839999999</v>
      </c>
      <c r="F2369" s="4">
        <f>((-1.0677618*(1.3/1.5))*0.6)-0.3</f>
        <v>-0.85523613600000004</v>
      </c>
    </row>
    <row r="2370" spans="1:6" x14ac:dyDescent="0.4">
      <c r="A2370" s="4">
        <v>2072.1223999999997</v>
      </c>
      <c r="B2370" s="4">
        <v>1.2157800000000001</v>
      </c>
      <c r="C2370" s="4">
        <v>1.2598765000000001</v>
      </c>
      <c r="D2370" s="4">
        <v>-29.992228999999998</v>
      </c>
      <c r="E2370" s="4">
        <f>((-32.0946525/(10/9))+-10.5)+-0.4</f>
        <v>-39.78518725</v>
      </c>
      <c r="F2370" s="4">
        <f>((-1.0679665*(1.3/1.5))*0.6)-0.3</f>
        <v>-0.85534258000000007</v>
      </c>
    </row>
    <row r="2371" spans="1:6" x14ac:dyDescent="0.4">
      <c r="A2371" s="4">
        <v>2072.9973249999998</v>
      </c>
      <c r="B2371" s="4">
        <v>1.2160359999999999</v>
      </c>
      <c r="C2371" s="4">
        <v>1.2601093000000001</v>
      </c>
      <c r="D2371" s="4">
        <v>-29.995034</v>
      </c>
      <c r="E2371" s="4">
        <f>((-32.0494707/(10/9))+-10.5)+-0.4</f>
        <v>-39.744523629999996</v>
      </c>
      <c r="F2371" s="4">
        <f>((-1.0682009*(1.3/1.5))*0.6)-0.3</f>
        <v>-0.85546446799999987</v>
      </c>
    </row>
    <row r="2372" spans="1:6" x14ac:dyDescent="0.4">
      <c r="A2372" s="4">
        <v>2073.8722499999999</v>
      </c>
      <c r="B2372" s="4">
        <v>1.2162683999999999</v>
      </c>
      <c r="C2372" s="4">
        <v>1.260257</v>
      </c>
      <c r="D2372" s="4">
        <v>-29.998248</v>
      </c>
      <c r="E2372" s="4">
        <f>((-32.0956236/(10/9))+-10.5)+-0.4</f>
        <v>-39.786061240000002</v>
      </c>
      <c r="F2372" s="4">
        <f>((-1.0684438*(1.3/1.5))*0.6)-0.3</f>
        <v>-0.85559077599999989</v>
      </c>
    </row>
    <row r="2373" spans="1:6" x14ac:dyDescent="0.4">
      <c r="A2373" s="4">
        <v>2074.747175</v>
      </c>
      <c r="B2373" s="4">
        <v>1.2163861</v>
      </c>
      <c r="C2373" s="4">
        <v>1.2607478999999999</v>
      </c>
      <c r="D2373" s="4">
        <v>-30.001449000000001</v>
      </c>
      <c r="E2373" s="4">
        <f>((-32.0392089/(10/9))+-10.5)+-0.4</f>
        <v>-39.735288009999998</v>
      </c>
      <c r="F2373" s="4">
        <f>((-1.0686811*(1.3/1.5))*0.6)-0.3</f>
        <v>-0.85571417199999988</v>
      </c>
    </row>
    <row r="2374" spans="1:6" x14ac:dyDescent="0.4">
      <c r="A2374" s="4">
        <v>2075.6221</v>
      </c>
      <c r="B2374" s="4">
        <v>1.2166256</v>
      </c>
      <c r="C2374" s="4">
        <v>1.2608792</v>
      </c>
      <c r="D2374" s="4">
        <v>-30.004210999999998</v>
      </c>
      <c r="E2374" s="4">
        <f>((-32.0388111/(10/9))+-10.5)+-0.4</f>
        <v>-39.734929989999991</v>
      </c>
      <c r="F2374" s="4">
        <f>((-1.0689108*(1.3/1.5))*0.6)-0.3</f>
        <v>-0.85583361599999996</v>
      </c>
    </row>
    <row r="2375" spans="1:6" x14ac:dyDescent="0.4">
      <c r="A2375" s="4">
        <v>2076.4970250000001</v>
      </c>
      <c r="B2375" s="4">
        <v>1.2167125999999999</v>
      </c>
      <c r="C2375" s="4">
        <v>1.2609501999999999</v>
      </c>
      <c r="D2375" s="4">
        <v>-30.007130999999998</v>
      </c>
      <c r="E2375" s="4">
        <f>((-32.0668569/(10/9))+-10.5)+-0.4</f>
        <v>-39.760171209999996</v>
      </c>
      <c r="F2375" s="4">
        <f>((-1.0692071*(1.3/1.5))*0.6)-0.3</f>
        <v>-0.85598769200000002</v>
      </c>
    </row>
    <row r="2376" spans="1:6" x14ac:dyDescent="0.4">
      <c r="A2376" s="4">
        <v>2077.3719499999997</v>
      </c>
      <c r="B2376" s="4">
        <v>1.2168223</v>
      </c>
      <c r="C2376" s="4">
        <v>1.2609212000000001</v>
      </c>
      <c r="D2376" s="4">
        <v>-30.009937999999998</v>
      </c>
      <c r="E2376" s="4">
        <f>((-32.0585346/(10/9))+-10.5)+-0.4</f>
        <v>-39.75268114</v>
      </c>
      <c r="F2376" s="4">
        <f>((-1.0695919*(1.3/1.5))*0.6)-0.3</f>
        <v>-0.85618778799999995</v>
      </c>
    </row>
    <row r="2377" spans="1:6" x14ac:dyDescent="0.4">
      <c r="A2377" s="4">
        <v>2078.2468749999998</v>
      </c>
      <c r="B2377" s="4">
        <v>1.2170856999999999</v>
      </c>
      <c r="C2377" s="4">
        <v>1.2613782</v>
      </c>
      <c r="D2377" s="4">
        <v>-30.012316999999999</v>
      </c>
      <c r="E2377" s="4">
        <f>((-32.035779/(10/9))+-10.5)+-0.4</f>
        <v>-39.73220109999999</v>
      </c>
      <c r="F2377" s="4">
        <f>((-1.0700192*(1.3/1.5))*0.6)-0.3</f>
        <v>-0.8564099839999999</v>
      </c>
    </row>
    <row r="2378" spans="1:6" x14ac:dyDescent="0.4">
      <c r="A2378" s="4">
        <v>2079.1217999999999</v>
      </c>
      <c r="B2378" s="4">
        <v>1.2176003</v>
      </c>
      <c r="C2378" s="4">
        <v>1.2615882</v>
      </c>
      <c r="D2378" s="4">
        <v>-30.014576999999999</v>
      </c>
      <c r="E2378" s="4">
        <f>((-32.0687928/(10/9))+-10.5)+-0.4</f>
        <v>-39.761913519999993</v>
      </c>
      <c r="F2378" s="4">
        <f>((-1.0704539*(1.3/1.5))*0.6)-0.3</f>
        <v>-0.85663602800000005</v>
      </c>
    </row>
    <row r="2379" spans="1:6" x14ac:dyDescent="0.4">
      <c r="A2379" s="4">
        <v>2079.996725</v>
      </c>
      <c r="B2379" s="4">
        <v>1.2175202000000001</v>
      </c>
      <c r="C2379" s="4">
        <v>1.2615041</v>
      </c>
      <c r="D2379" s="4">
        <v>-30.017173</v>
      </c>
      <c r="E2379" s="4">
        <f>((-32.062617/(10/9))+-10.5)+-0.4</f>
        <v>-39.756355300000003</v>
      </c>
      <c r="F2379" s="4">
        <f>((-1.0708913*(1.3/1.5))*0.6)-0.3</f>
        <v>-0.85686347600000001</v>
      </c>
    </row>
    <row r="2380" spans="1:6" x14ac:dyDescent="0.4">
      <c r="A2380" s="4">
        <v>2080.87165</v>
      </c>
      <c r="B2380" s="4">
        <v>1.2178302000000001</v>
      </c>
      <c r="C2380" s="4">
        <v>1.2619404000000001</v>
      </c>
      <c r="D2380" s="4">
        <v>-30.019803</v>
      </c>
      <c r="E2380" s="4">
        <f>((-32.0545071/(10/9))+-10.5)+-0.4</f>
        <v>-39.74905639</v>
      </c>
      <c r="F2380" s="4">
        <f>((-1.0713927*(1.3/1.5))*0.6)-0.3</f>
        <v>-0.857124204</v>
      </c>
    </row>
    <row r="2381" spans="1:6" x14ac:dyDescent="0.4">
      <c r="A2381" s="4">
        <v>2081.7465750000001</v>
      </c>
      <c r="B2381" s="4">
        <v>1.2180447999999999</v>
      </c>
      <c r="C2381" s="4">
        <v>1.2623538000000001</v>
      </c>
      <c r="D2381" s="4">
        <v>-30.022613</v>
      </c>
      <c r="E2381" s="4">
        <f>((-31.9946148/(10/9))+-10.5)+-0.4</f>
        <v>-39.695153319999996</v>
      </c>
      <c r="F2381" s="4">
        <f>((-1.0719576*(1.3/1.5))*0.6)-0.3</f>
        <v>-0.85741795200000004</v>
      </c>
    </row>
    <row r="2382" spans="1:6" x14ac:dyDescent="0.4">
      <c r="A2382" s="4">
        <v>2082.6215000000002</v>
      </c>
      <c r="B2382" s="4">
        <v>1.2183284999999999</v>
      </c>
      <c r="C2382" s="4">
        <v>1.2622633999999999</v>
      </c>
      <c r="D2382" s="4">
        <v>-30.025264</v>
      </c>
      <c r="E2382" s="4">
        <f>((-32.0096628/(10/9))+-10.5)+-0.4</f>
        <v>-39.708696519999997</v>
      </c>
      <c r="F2382" s="4">
        <f>((-1.0724858*(1.3/1.5))*0.6)-0.3</f>
        <v>-0.85769261600000002</v>
      </c>
    </row>
    <row r="2383" spans="1:6" x14ac:dyDescent="0.4">
      <c r="A2383" s="4">
        <v>2083.4964250000003</v>
      </c>
      <c r="B2383" s="4">
        <v>1.2184234</v>
      </c>
      <c r="C2383" s="4">
        <v>1.2625751000000001</v>
      </c>
      <c r="D2383" s="4">
        <v>-30.027781999999998</v>
      </c>
      <c r="E2383" s="4">
        <f>((-31.9898187/(10/9))+-10.5)+-0.4</f>
        <v>-39.690836830000002</v>
      </c>
      <c r="F2383" s="4">
        <f>((-1.0730118*(1.3/1.5))*0.6)-0.3</f>
        <v>-0.85796613599999993</v>
      </c>
    </row>
    <row r="2384" spans="1:6" x14ac:dyDescent="0.4">
      <c r="A2384" s="4">
        <v>2084.3713499999999</v>
      </c>
      <c r="B2384" s="4">
        <v>1.2186188</v>
      </c>
      <c r="C2384" s="4">
        <v>1.2630134</v>
      </c>
      <c r="D2384" s="4">
        <v>-30.029989999999998</v>
      </c>
      <c r="E2384" s="4">
        <f>((-32.0231484/(10/9))+-10.5)+-0.4</f>
        <v>-39.720833559999996</v>
      </c>
      <c r="F2384" s="4">
        <f>((-1.0734707*(1.3/1.5))*0.6)-0.3</f>
        <v>-0.85820476400000012</v>
      </c>
    </row>
    <row r="2385" spans="1:6" x14ac:dyDescent="0.4">
      <c r="A2385" s="4">
        <v>2085.246275</v>
      </c>
      <c r="B2385" s="4">
        <v>1.2188755</v>
      </c>
      <c r="C2385" s="4">
        <v>1.2631022999999999</v>
      </c>
      <c r="D2385" s="4">
        <v>-30.032111</v>
      </c>
      <c r="E2385" s="4">
        <f>((-31.9984974/(10/9))+-10.5)+-0.4</f>
        <v>-39.698647659999999</v>
      </c>
      <c r="F2385" s="4">
        <f>((-1.0739588*(1.3/1.5))*0.6)-0.3</f>
        <v>-0.85845857599999986</v>
      </c>
    </row>
    <row r="2386" spans="1:6" x14ac:dyDescent="0.4">
      <c r="A2386" s="4">
        <v>2086.1212</v>
      </c>
      <c r="B2386" s="4">
        <v>1.2191713</v>
      </c>
      <c r="C2386" s="4">
        <v>1.2632546</v>
      </c>
      <c r="D2386" s="4">
        <v>-30.034129</v>
      </c>
      <c r="E2386" s="4">
        <f>((-31.9928058/(10/9))+-10.5)+-0.4</f>
        <v>-39.693525219999998</v>
      </c>
      <c r="F2386" s="4">
        <f>((-1.0745515*(1.3/1.5))*0.6)-0.3</f>
        <v>-0.85876678000000006</v>
      </c>
    </row>
    <row r="2387" spans="1:6" x14ac:dyDescent="0.4">
      <c r="A2387" s="4">
        <v>2086.9961250000001</v>
      </c>
      <c r="B2387" s="4">
        <v>1.2193221000000001</v>
      </c>
      <c r="C2387" s="4">
        <v>1.2635605000000001</v>
      </c>
      <c r="D2387" s="4">
        <v>-30.036265999999998</v>
      </c>
      <c r="E2387" s="4">
        <f>((-31.9996998/(10/9))+-10.5)+-0.4</f>
        <v>-39.699729819999995</v>
      </c>
      <c r="F2387" s="4">
        <f>((-1.0751877*(1.3/1.5))*0.6)-0.3</f>
        <v>-0.85909760400000001</v>
      </c>
    </row>
    <row r="2388" spans="1:6" x14ac:dyDescent="0.4">
      <c r="A2388" s="4">
        <v>2087.8710500000002</v>
      </c>
      <c r="B2388" s="4">
        <v>1.2195910000000001</v>
      </c>
      <c r="C2388" s="4">
        <v>1.2637029</v>
      </c>
      <c r="D2388" s="4">
        <v>-30.038271999999999</v>
      </c>
      <c r="E2388" s="4">
        <f>((-31.9589748/(10/9))+-10.5)+-0.4</f>
        <v>-39.663077319999992</v>
      </c>
      <c r="F2388" s="4">
        <f>((-1.0758446*(1.3/1.5))*0.6)-0.3</f>
        <v>-0.85943919199999996</v>
      </c>
    </row>
    <row r="2389" spans="1:6" x14ac:dyDescent="0.4">
      <c r="A2389" s="4">
        <v>2088.7459750000003</v>
      </c>
      <c r="B2389" s="4">
        <v>1.2197827000000001</v>
      </c>
      <c r="C2389" s="4">
        <v>1.2639791</v>
      </c>
      <c r="D2389" s="4">
        <v>-30.040343</v>
      </c>
      <c r="E2389" s="4">
        <f>((-31.9728726/(10/9))+-10.5)+-0.4</f>
        <v>-39.675585339999998</v>
      </c>
      <c r="F2389" s="4">
        <f>((-1.0765029*(1.3/1.5))*0.6)-0.3</f>
        <v>-0.85978150799999997</v>
      </c>
    </row>
    <row r="2390" spans="1:6" x14ac:dyDescent="0.4">
      <c r="A2390" s="4">
        <v>2089.6208999999999</v>
      </c>
      <c r="B2390" s="4">
        <v>1.2198093999999999</v>
      </c>
      <c r="C2390" s="4">
        <v>1.2640613000000001</v>
      </c>
      <c r="D2390" s="4">
        <v>-30.042244999999998</v>
      </c>
      <c r="E2390" s="4">
        <f>((-31.9942134/(10/9))+-10.5)+-0.4</f>
        <v>-39.694792059999997</v>
      </c>
      <c r="F2390" s="4">
        <f>((-1.0771899*(1.3/1.5))*0.6)-0.3</f>
        <v>-0.86013874800000001</v>
      </c>
    </row>
    <row r="2391" spans="1:6" x14ac:dyDescent="0.4">
      <c r="A2391" s="4">
        <v>2090.495825</v>
      </c>
      <c r="B2391" s="4">
        <v>1.2200621</v>
      </c>
      <c r="C2391" s="4">
        <v>1.2640967000000001</v>
      </c>
      <c r="D2391" s="4">
        <v>-30.044321999999998</v>
      </c>
      <c r="E2391" s="4">
        <f>((-31.996503/(10/9))+-10.5)+-0.4</f>
        <v>-39.696852700000001</v>
      </c>
      <c r="F2391" s="4">
        <f>((-1.0779259*(1.3/1.5))*0.6)-0.3</f>
        <v>-0.86052146799999996</v>
      </c>
    </row>
    <row r="2392" spans="1:6" x14ac:dyDescent="0.4">
      <c r="A2392" s="4">
        <v>2091.37075</v>
      </c>
      <c r="B2392" s="4">
        <v>1.2201808999999999</v>
      </c>
      <c r="C2392" s="4">
        <v>1.264419</v>
      </c>
      <c r="D2392" s="4">
        <v>-30.045662999999998</v>
      </c>
      <c r="E2392" s="4">
        <f>((-31.9886136/(10/9))+-10.5)+-0.4</f>
        <v>-39.689752239999997</v>
      </c>
      <c r="F2392" s="4">
        <f>((-1.078583*(1.3/1.5))*0.6)-0.3</f>
        <v>-0.86086316000000007</v>
      </c>
    </row>
    <row r="2393" spans="1:6" x14ac:dyDescent="0.4">
      <c r="A2393" s="4">
        <v>2092.2456750000001</v>
      </c>
      <c r="B2393" s="4">
        <v>1.2205045999999999</v>
      </c>
      <c r="C2393" s="4">
        <v>1.2647206</v>
      </c>
      <c r="D2393" s="4">
        <v>-30.047474999999999</v>
      </c>
      <c r="E2393" s="4">
        <f>((-31.9834944/(10/9))+-10.5)+-0.4</f>
        <v>-39.685144959999995</v>
      </c>
      <c r="F2393" s="4">
        <f>((-1.0792054*(1.3/1.5))*0.6)-0.3</f>
        <v>-0.86118680800000003</v>
      </c>
    </row>
    <row r="2394" spans="1:6" x14ac:dyDescent="0.4">
      <c r="A2394" s="4">
        <v>2093.1206000000002</v>
      </c>
      <c r="B2394" s="4">
        <v>1.2207427</v>
      </c>
      <c r="C2394" s="4">
        <v>1.2647512999999999</v>
      </c>
      <c r="D2394" s="4">
        <v>-30.048954999999999</v>
      </c>
      <c r="E2394" s="4">
        <f>((-31.9591017/(10/9))+-10.5)+-0.4</f>
        <v>-39.663191529999999</v>
      </c>
      <c r="F2394" s="4">
        <f>((-1.0798693*(1.3/1.5))*0.6)-0.3</f>
        <v>-0.86153203599999983</v>
      </c>
    </row>
    <row r="2395" spans="1:6" x14ac:dyDescent="0.4">
      <c r="A2395" s="4">
        <v>2093.9955249999998</v>
      </c>
      <c r="B2395" s="4">
        <v>1.2207536999999999</v>
      </c>
      <c r="C2395" s="4">
        <v>1.2651836000000001</v>
      </c>
      <c r="D2395" s="4">
        <v>-30.050257999999999</v>
      </c>
      <c r="E2395" s="4">
        <f>((-31.9771224/(10/9))+-10.5)+-0.4</f>
        <v>-39.679410159999996</v>
      </c>
      <c r="F2395" s="4">
        <f>((-1.0805821*(1.3/1.5))*0.6)-0.3</f>
        <v>-0.86190269199999991</v>
      </c>
    </row>
    <row r="2396" spans="1:6" x14ac:dyDescent="0.4">
      <c r="A2396" s="4">
        <v>2094.8704499999999</v>
      </c>
      <c r="B2396" s="4">
        <v>1.2209201999999999</v>
      </c>
      <c r="C2396" s="4">
        <v>1.2652173</v>
      </c>
      <c r="D2396" s="4">
        <v>-30.051966999999998</v>
      </c>
      <c r="E2396" s="4">
        <f>((-31.959864/(10/9))+-10.5)+-0.4</f>
        <v>-39.663877599999999</v>
      </c>
      <c r="F2396" s="4">
        <f>((-1.0813351*(1.3/1.5))*0.6)-0.3</f>
        <v>-0.86229425199999987</v>
      </c>
    </row>
    <row r="2397" spans="1:6" x14ac:dyDescent="0.4">
      <c r="A2397" s="4">
        <v>2095.745375</v>
      </c>
      <c r="B2397" s="4">
        <v>1.2212582000000001</v>
      </c>
      <c r="C2397" s="4">
        <v>1.2654411000000001</v>
      </c>
      <c r="D2397" s="4">
        <v>-30.053345999999998</v>
      </c>
      <c r="E2397" s="4">
        <f>((-31.9297608/(10/9))+-10.5)+-0.4</f>
        <v>-39.636784720000001</v>
      </c>
      <c r="F2397" s="4">
        <f>((-1.0820956*(1.3/1.5))*0.6)-0.3</f>
        <v>-0.86268971199999989</v>
      </c>
    </row>
    <row r="2398" spans="1:6" x14ac:dyDescent="0.4">
      <c r="A2398" s="4">
        <v>2096.6203</v>
      </c>
      <c r="B2398" s="4">
        <v>1.2215252999999999</v>
      </c>
      <c r="C2398" s="4">
        <v>1.2657984</v>
      </c>
      <c r="D2398" s="4">
        <v>-30.054770999999999</v>
      </c>
      <c r="E2398" s="4">
        <f>((-32.0039226/(10/9))+-10.5)+-0.4</f>
        <v>-39.70353034</v>
      </c>
      <c r="F2398" s="4">
        <f>((-1.0828694*(1.3/1.5))*0.6)-0.3</f>
        <v>-0.86309208799999992</v>
      </c>
    </row>
    <row r="2399" spans="1:6" x14ac:dyDescent="0.4">
      <c r="A2399" s="4">
        <v>2097.4952250000001</v>
      </c>
      <c r="B2399" s="4">
        <v>1.2215973</v>
      </c>
      <c r="C2399" s="4">
        <v>1.2657856999999999</v>
      </c>
      <c r="D2399" s="4">
        <v>-30.056204999999999</v>
      </c>
      <c r="E2399" s="4">
        <f>((-31.9572405/(10/9))+-10.5)+-0.4</f>
        <v>-39.661516450000001</v>
      </c>
      <c r="F2399" s="4">
        <f>((-1.0836031*(1.3/1.5))*0.6)-0.3</f>
        <v>-0.86347361199999995</v>
      </c>
    </row>
    <row r="2400" spans="1:6" x14ac:dyDescent="0.4">
      <c r="A2400" s="4">
        <v>2098.3701499999997</v>
      </c>
      <c r="B2400" s="4">
        <v>1.2217251</v>
      </c>
      <c r="C2400" s="4">
        <v>1.2660142999999999</v>
      </c>
      <c r="D2400" s="4">
        <v>-30.057821000000001</v>
      </c>
      <c r="E2400" s="4">
        <f>((-31.9111533/(10/9))+-10.5)+-0.4</f>
        <v>-39.620037969999991</v>
      </c>
      <c r="F2400" s="4">
        <f>((-1.0843436*(1.3/1.5))*0.6)-0.3</f>
        <v>-0.86385867199999988</v>
      </c>
    </row>
    <row r="2401" spans="1:6" x14ac:dyDescent="0.4">
      <c r="A2401" s="4">
        <v>2099.2450750000003</v>
      </c>
      <c r="B2401" s="4">
        <v>1.221962</v>
      </c>
      <c r="C2401" s="4">
        <v>1.2662656000000001</v>
      </c>
      <c r="D2401" s="4">
        <v>-30.059094999999999</v>
      </c>
      <c r="E2401" s="4">
        <f>((-31.9307292/(10/9))+-10.5)+-0.4</f>
        <v>-39.637656279999995</v>
      </c>
      <c r="F2401" s="4">
        <f>((-1.0850937*(1.3/1.5))*0.6)-0.3</f>
        <v>-0.86424872400000008</v>
      </c>
    </row>
    <row r="2402" spans="1:6" x14ac:dyDescent="0.4">
      <c r="A2402" s="4">
        <v>2100.12</v>
      </c>
      <c r="B2402" s="4">
        <v>1.2220986</v>
      </c>
      <c r="C2402" s="4">
        <v>1.2662395</v>
      </c>
      <c r="D2402" s="4">
        <v>-30.060528999999999</v>
      </c>
      <c r="E2402" s="4">
        <f>((-31.9158873/(10/9))+-10.5)+-0.4</f>
        <v>-39.624298570000001</v>
      </c>
      <c r="F2402" s="4">
        <f>((-1.0857383*(1.3/1.5))*0.6)-0.3</f>
        <v>-0.86458391599999995</v>
      </c>
    </row>
    <row r="2403" spans="1:6" x14ac:dyDescent="0.4">
      <c r="A2403" s="4">
        <v>2100.994925</v>
      </c>
      <c r="B2403" s="4">
        <v>1.2223122</v>
      </c>
      <c r="C2403" s="4">
        <v>1.2663434</v>
      </c>
      <c r="D2403" s="4">
        <v>-30.061626</v>
      </c>
      <c r="E2403" s="4">
        <f>((-31.9075245/(10/9))+-10.5)+-0.4</f>
        <v>-39.616772050000002</v>
      </c>
      <c r="F2403" s="4">
        <f>((-1.0864056*(1.3/1.5))*0.6)-0.3</f>
        <v>-0.86493091199999994</v>
      </c>
    </row>
    <row r="2404" spans="1:6" x14ac:dyDescent="0.4">
      <c r="A2404" s="4">
        <v>2101.86985</v>
      </c>
      <c r="B2404" s="4">
        <v>1.2226163999999999</v>
      </c>
      <c r="C2404" s="4">
        <v>1.2667131</v>
      </c>
      <c r="D2404" s="4">
        <v>-30.062882999999999</v>
      </c>
      <c r="E2404" s="4">
        <f>((-31.9514355/(10/9))+-10.5)+-0.4</f>
        <v>-39.656291949999996</v>
      </c>
      <c r="F2404" s="4">
        <f>((-1.0870881*(1.3/1.5))*0.6)-0.3</f>
        <v>-0.86528581199999999</v>
      </c>
    </row>
    <row r="2405" spans="1:6" x14ac:dyDescent="0.4">
      <c r="A2405" s="4">
        <v>2102.7447750000001</v>
      </c>
      <c r="B2405" s="4">
        <v>1.2227767</v>
      </c>
      <c r="C2405" s="4">
        <v>1.2669119</v>
      </c>
      <c r="D2405" s="4">
        <v>-30.064194999999998</v>
      </c>
      <c r="E2405" s="4">
        <f>((-31.908087/(10/9))+-10.5)+-0.4</f>
        <v>-39.617278299999995</v>
      </c>
      <c r="F2405" s="4">
        <f>((-1.0877749*(1.3/1.5))*0.6)-0.3</f>
        <v>-0.86564294800000008</v>
      </c>
    </row>
    <row r="2406" spans="1:6" x14ac:dyDescent="0.4">
      <c r="A2406" s="4">
        <v>2103.6197000000002</v>
      </c>
      <c r="B2406" s="4">
        <v>1.2228536999999999</v>
      </c>
      <c r="C2406" s="4">
        <v>1.2671653</v>
      </c>
      <c r="D2406" s="4">
        <v>-30.065541</v>
      </c>
      <c r="E2406" s="4">
        <f>((-31.9010391/(10/9))+-10.5)+-0.4</f>
        <v>-39.610935189999999</v>
      </c>
      <c r="F2406" s="4">
        <f>((-1.0884686*(1.3/1.5))*0.6)-0.3</f>
        <v>-0.86600367199999995</v>
      </c>
    </row>
    <row r="2407" spans="1:6" x14ac:dyDescent="0.4">
      <c r="A2407" s="4">
        <v>2104.4946249999998</v>
      </c>
      <c r="B2407" s="4">
        <v>1.222982</v>
      </c>
      <c r="C2407" s="4">
        <v>1.2671869</v>
      </c>
      <c r="D2407" s="4">
        <v>-30.067207</v>
      </c>
      <c r="E2407" s="4">
        <f>((-31.9061403/(10/9))+-10.5)+-0.4</f>
        <v>-39.615526269999997</v>
      </c>
      <c r="F2407" s="4">
        <f>((-1.0891843*(1.3/1.5))*0.6)-0.3</f>
        <v>-0.86637583600000001</v>
      </c>
    </row>
    <row r="2408" spans="1:6" x14ac:dyDescent="0.4">
      <c r="A2408" s="4">
        <v>2105.3695499999999</v>
      </c>
      <c r="B2408" s="4">
        <v>1.223204</v>
      </c>
      <c r="C2408" s="4">
        <v>1.267547</v>
      </c>
      <c r="D2408" s="4">
        <v>-30.068497999999998</v>
      </c>
      <c r="E2408" s="4">
        <f>((-31.9020381/(10/9))+-10.5)+-0.4</f>
        <v>-39.611834289999997</v>
      </c>
      <c r="F2408" s="4">
        <f>((-1.0899229*(1.3/1.5))*0.6)-0.3</f>
        <v>-0.86675990799999991</v>
      </c>
    </row>
    <row r="2409" spans="1:6" x14ac:dyDescent="0.4">
      <c r="A2409" s="4">
        <v>2106.244475</v>
      </c>
      <c r="B2409" s="4">
        <v>1.223403</v>
      </c>
      <c r="C2409" s="4">
        <v>1.2675239</v>
      </c>
      <c r="D2409" s="4">
        <v>-30.069866999999999</v>
      </c>
      <c r="E2409" s="4">
        <f>(((((((((-31.9482144/(10/9))+-10.5)+-0.4)*0.98)*1.11)*0.85)-6.5)+3.2)+-0.3)+0.3</f>
        <v>-39.964716732604799</v>
      </c>
      <c r="F2409" s="4">
        <f>((-1.0905583*(1.3/1.5))*0.6)-0.3</f>
        <v>-0.86709031600000008</v>
      </c>
    </row>
    <row r="2410" spans="1:6" x14ac:dyDescent="0.4">
      <c r="A2410" s="4">
        <v>2107.1194</v>
      </c>
      <c r="B2410" s="4">
        <v>1.2236365</v>
      </c>
      <c r="C2410" s="4">
        <v>1.2677921999999999</v>
      </c>
      <c r="D2410" s="4">
        <v>-30.071325999999999</v>
      </c>
      <c r="E2410" s="4">
        <f>(((((((((-31.9068171/(10/9))+-10.5)+-0.4)*0.98)*1.11)*0.85)-6.5)+3.2)+-0.3)+0.3</f>
        <v>-39.930267265655701</v>
      </c>
      <c r="F2410" s="4">
        <f>((-1.0911082*(1.3/1.5))*0.6)-0.3</f>
        <v>-0.86737626400000001</v>
      </c>
    </row>
    <row r="2411" spans="1:6" x14ac:dyDescent="0.4">
      <c r="A2411" s="4">
        <v>2107.9943250000001</v>
      </c>
      <c r="B2411" s="4">
        <v>1.2239196000000001</v>
      </c>
      <c r="C2411" s="4">
        <v>1.2682017000000001</v>
      </c>
      <c r="D2411" s="4">
        <v>-30.072437000000001</v>
      </c>
      <c r="E2411" s="4">
        <f>(((((((((-31.8608631/(10/9))+-10.5)+-0.4)*0.98)*1.11)*0.85)-6.5)+3.2)+-0.3)+0.3</f>
        <v>-39.892025863337693</v>
      </c>
      <c r="F2411" s="4">
        <f>((-1.0917109*(1.3/1.5))*0.6)-0.3</f>
        <v>-0.86768966800000014</v>
      </c>
    </row>
    <row r="2412" spans="1:6" x14ac:dyDescent="0.4">
      <c r="A2412" s="4">
        <v>2108.8692500000002</v>
      </c>
      <c r="B2412" s="4">
        <v>1.2238777999999999</v>
      </c>
      <c r="C2412" s="4">
        <v>1.2681595999999999</v>
      </c>
      <c r="D2412" s="4">
        <v>-30.073630999999999</v>
      </c>
      <c r="E2412" s="4">
        <f>(((((((((-31.8890088/(10/9))+-10.5)+-0.4)*0.98)*1.11)*0.85)-6.5)+3.2)+-0.3)+0.3</f>
        <v>-39.915447786069585</v>
      </c>
      <c r="F2412" s="4">
        <f>((-1.0923047*(1.3/1.5))*0.6)-0.3</f>
        <v>-0.86799844399999992</v>
      </c>
    </row>
    <row r="2413" spans="1:6" x14ac:dyDescent="0.4">
      <c r="A2413" s="4">
        <v>2109.7441749999998</v>
      </c>
      <c r="B2413" s="4">
        <v>1.2240652000000001</v>
      </c>
      <c r="C2413" s="4">
        <v>1.2684933</v>
      </c>
      <c r="D2413" s="4">
        <v>-30.074974999999998</v>
      </c>
      <c r="E2413" s="4">
        <f>(((((((((-31.8946428/(10/9))+-10.5)+-0.4)*0.98)*1.11)*0.85)-6.5)+3.2)+-0.3)+0.3</f>
        <v>-39.920136214947597</v>
      </c>
      <c r="F2413" s="4">
        <f>((-1.0929*(1.3/1.5))*0.6)-0.3</f>
        <v>-0.86830800000000008</v>
      </c>
    </row>
    <row r="2414" spans="1:6" x14ac:dyDescent="0.4">
      <c r="A2414" s="4">
        <v>2110.6190999999999</v>
      </c>
      <c r="B2414" s="4">
        <v>1.2243291000000001</v>
      </c>
      <c r="C2414" s="4">
        <v>1.2685316</v>
      </c>
      <c r="D2414" s="4">
        <v>-30.076615999999998</v>
      </c>
      <c r="E2414" s="4">
        <f>(((((((((-31.8755781/(10/9))+-10.5)+-0.4)*0.98)*1.11)*0.85)-6.5)+3.2)+-0.3)+0.3</f>
        <v>-39.904271200742699</v>
      </c>
      <c r="F2414" s="4">
        <f>((-1.0935477*(1.3/1.5))*0.6)-0.3</f>
        <v>-0.86864480399999988</v>
      </c>
    </row>
    <row r="2415" spans="1:6" x14ac:dyDescent="0.4">
      <c r="A2415" s="4">
        <v>2111.494025</v>
      </c>
      <c r="B2415" s="4">
        <v>1.2247319999999999</v>
      </c>
      <c r="C2415" s="4">
        <v>1.2686200999999999</v>
      </c>
      <c r="D2415" s="4">
        <v>-30.077869</v>
      </c>
      <c r="E2415" s="4">
        <f>(((((((((-31.9071465/(10/9))+-10.5)+-0.4)*0.98)*1.11)*0.85)-6.5)+3.2)+-0.3)+0.3</f>
        <v>-39.930541381465503</v>
      </c>
      <c r="F2415" s="4">
        <f>((-1.0941265*(1.3/1.5))*0.6)-0.3</f>
        <v>-0.86894578</v>
      </c>
    </row>
    <row r="2416" spans="1:6" x14ac:dyDescent="0.4">
      <c r="A2416" s="4">
        <v>2112.36895</v>
      </c>
      <c r="B2416" s="4">
        <v>1.2249274999999999</v>
      </c>
      <c r="C2416" s="4">
        <v>1.268977</v>
      </c>
      <c r="D2416" s="4">
        <v>-30.079304999999998</v>
      </c>
      <c r="E2416" s="4">
        <f>(((((((((-31.8565062/(10/9))+-10.5)+-0.4)*0.98)*1.11)*0.85)-6.5)+3.2)+-0.3)+0.3</f>
        <v>-39.888400194935393</v>
      </c>
      <c r="F2416" s="4">
        <f>((-1.094667*(1.3/1.5))*0.6)-0.3</f>
        <v>-0.86922684000000006</v>
      </c>
    </row>
    <row r="2417" spans="1:6" x14ac:dyDescent="0.4">
      <c r="A2417" s="4">
        <v>2113.2438750000001</v>
      </c>
      <c r="B2417" s="4">
        <v>1.2248714999999999</v>
      </c>
      <c r="C2417" s="4">
        <v>1.2691193000000001</v>
      </c>
      <c r="D2417" s="4">
        <v>-30.080877999999998</v>
      </c>
      <c r="E2417" s="4">
        <f>(((((((((-31.8575538/(10/9))+-10.5)+-0.4)*0.98)*1.11)*0.85)-6.5)+3.2)+-0.3)+0.3</f>
        <v>-39.889271973084597</v>
      </c>
      <c r="F2417" s="4">
        <f>((-1.0951517*(1.3/1.5))*0.6)-0.3</f>
        <v>-0.86947888400000006</v>
      </c>
    </row>
    <row r="2418" spans="1:6" x14ac:dyDescent="0.4">
      <c r="A2418" s="4">
        <v>2114.1187999999997</v>
      </c>
      <c r="B2418" s="4">
        <v>1.2250251000000001</v>
      </c>
      <c r="C2418" s="4">
        <v>1.2692032</v>
      </c>
      <c r="D2418" s="4">
        <v>-30.082473</v>
      </c>
      <c r="E2418" s="4">
        <f>(((((((((-31.8968775/(10/9))+-10.5)+-0.4)*0.98)*1.11)*0.85)-6.5)+3.2)+-0.3)+0.3</f>
        <v>-39.921995858542495</v>
      </c>
      <c r="F2418" s="4">
        <f>((-1.0956365*(1.3/1.5))*0.6)-0.3</f>
        <v>-0.86973097999999993</v>
      </c>
    </row>
    <row r="2419" spans="1:6" x14ac:dyDescent="0.4">
      <c r="A2419" s="4">
        <v>2114.9937250000003</v>
      </c>
      <c r="B2419" s="4">
        <v>1.2251029</v>
      </c>
      <c r="C2419" s="4">
        <v>1.2691873</v>
      </c>
      <c r="D2419" s="4">
        <v>-30.083925999999998</v>
      </c>
      <c r="E2419" s="4">
        <f>(((((((((-31.8874707/(10/9))+-10.5)+-0.4)*0.98)*1.11)*0.85)-6.5)+3.2)+-0.3)+0.3</f>
        <v>-39.914167830006896</v>
      </c>
      <c r="F2419" s="4">
        <f>((-1.0961195*(1.3/1.5))*0.6)-0.3</f>
        <v>-0.86998213999999985</v>
      </c>
    </row>
    <row r="2420" spans="1:6" x14ac:dyDescent="0.4">
      <c r="A2420" s="4">
        <v>2115.8686499999999</v>
      </c>
      <c r="B2420" s="4">
        <v>1.225495</v>
      </c>
      <c r="C2420" s="4">
        <v>1.2694183999999999</v>
      </c>
      <c r="D2420" s="4">
        <v>-30.085512999999999</v>
      </c>
      <c r="E2420" s="4">
        <f>(((((((((-31.8692196/(10/9))+-10.5)+-0.4)*0.98)*1.11)*0.85)-6.5)+3.2)+-0.3)+0.3</f>
        <v>-39.898979866873198</v>
      </c>
      <c r="F2420" s="4">
        <f>((-1.0965645*(1.3/1.5))*0.6)-0.3</f>
        <v>-0.87021353999999995</v>
      </c>
    </row>
    <row r="2421" spans="1:6" x14ac:dyDescent="0.4">
      <c r="A2421" s="4">
        <v>2116.743575</v>
      </c>
      <c r="B2421" s="4">
        <v>1.2254608</v>
      </c>
      <c r="C2421" s="4">
        <v>1.2697406</v>
      </c>
      <c r="D2421" s="4">
        <v>-30.086891999999999</v>
      </c>
      <c r="E2421" s="4">
        <f>(((((((((-31.8697659/(10/9))+-10.5)+-0.4)*0.98)*1.11)*0.85)-6.5)+3.2)+-0.3)+0.3</f>
        <v>-39.899434479705299</v>
      </c>
      <c r="F2421" s="4">
        <f>((-1.096926*(1.3/1.5))*0.6)-0.3</f>
        <v>-0.87040151999999993</v>
      </c>
    </row>
    <row r="2422" spans="1:6" x14ac:dyDescent="0.4">
      <c r="A2422" s="4">
        <v>2117.6185</v>
      </c>
      <c r="B2422" s="4">
        <v>1.2257118</v>
      </c>
      <c r="C2422" s="4">
        <v>1.2698894000000001</v>
      </c>
      <c r="D2422" s="4">
        <v>-30.087904999999999</v>
      </c>
      <c r="E2422" s="4">
        <f>(((((((((-31.8403872/(10/9))+-10.5)+-0.4)*0.98)*1.11)*0.85)-6.5)+3.2)+-0.3)+0.3</f>
        <v>-39.874986495062394</v>
      </c>
      <c r="F2422" s="4">
        <f>((-1.0972778*(1.3/1.5))*0.6)-0.3</f>
        <v>-0.87058445600000001</v>
      </c>
    </row>
    <row r="2423" spans="1:6" x14ac:dyDescent="0.4">
      <c r="A2423" s="4">
        <v>2118.4934249999997</v>
      </c>
      <c r="B2423" s="4">
        <v>1.2261953000000001</v>
      </c>
      <c r="C2423" s="4">
        <v>1.2701255</v>
      </c>
      <c r="D2423" s="4">
        <v>-30.089123999999998</v>
      </c>
      <c r="E2423" s="4">
        <f>(((((((((-31.8811293/(10/9))+-10.5)+-0.4)*0.98)*1.11)*0.85)-6.5)+3.2)+-0.3)+0.3</f>
        <v>-39.908890726193086</v>
      </c>
      <c r="F2423" s="4">
        <f>((-1.0975889*(1.3/1.5))*0.6)-0.3</f>
        <v>-0.87074622800000001</v>
      </c>
    </row>
    <row r="2424" spans="1:6" x14ac:dyDescent="0.4">
      <c r="A2424" s="4">
        <v>2119.3683500000002</v>
      </c>
      <c r="B2424" s="4">
        <v>1.2260934999999999</v>
      </c>
      <c r="C2424" s="4">
        <v>1.2701373</v>
      </c>
      <c r="D2424" s="4">
        <v>-30.090854</v>
      </c>
      <c r="E2424" s="4">
        <f>(((((((((-31.8536226/(10/9))+-10.5)+-0.4)*0.98)*1.11)*0.85)-6.5)+3.2)+-0.3)+0.3</f>
        <v>-39.886000558174203</v>
      </c>
      <c r="F2424" s="4">
        <f>((-1.0979104*(1.3/1.5))*0.6)-0.3</f>
        <v>-0.87091340800000006</v>
      </c>
    </row>
    <row r="2425" spans="1:6" x14ac:dyDescent="0.4">
      <c r="A2425" s="4">
        <v>2120.2432749999998</v>
      </c>
      <c r="B2425" s="4">
        <v>1.2262516999999999</v>
      </c>
      <c r="C2425" s="4">
        <v>1.2702850000000001</v>
      </c>
      <c r="D2425" s="4">
        <v>-30.092607000000001</v>
      </c>
      <c r="E2425" s="4">
        <f>(((((((((-31.8795705/(10/9))+-10.5)+-0.4)*0.98)*1.11)*0.85)-6.5)+3.2)+-0.3)+0.3</f>
        <v>-39.907593544273489</v>
      </c>
      <c r="F2425" s="4">
        <f>((-1.0982151*(1.3/1.5))*0.6)-0.3</f>
        <v>-0.87107185200000004</v>
      </c>
    </row>
    <row r="2426" spans="1:6" x14ac:dyDescent="0.4">
      <c r="A2426" s="4">
        <v>2121.1182000000003</v>
      </c>
      <c r="B2426" s="4">
        <v>1.2266395999999999</v>
      </c>
      <c r="C2426" s="4">
        <v>1.2706706999999999</v>
      </c>
      <c r="D2426" s="4">
        <v>-30.094483999999998</v>
      </c>
      <c r="E2426" s="4">
        <f>(((((((((-31.8495195/(10/9))+-10.5)+-0.4)*0.98)*1.11)*0.85)-6.5)+3.2)+-0.3)+0.3</f>
        <v>-39.882586093756501</v>
      </c>
      <c r="F2426" s="4">
        <f>((-1.0985017*(1.3/1.5))*0.6)-0.3</f>
        <v>-0.87122088399999997</v>
      </c>
    </row>
    <row r="2427" spans="1:6" x14ac:dyDescent="0.4">
      <c r="A2427" s="4">
        <v>2121.993125</v>
      </c>
      <c r="B2427" s="4">
        <v>1.226753</v>
      </c>
      <c r="C2427" s="4">
        <v>1.2710250999999999</v>
      </c>
      <c r="D2427" s="4">
        <v>-30.096119999999999</v>
      </c>
      <c r="E2427" s="4">
        <f>(((((((((-31.8692988/(10/9))+-10.5)+-0.4)*0.98)*1.11)*0.85)-6.5)+3.2)+-0.3)+0.3</f>
        <v>-39.899045774499605</v>
      </c>
      <c r="F2427" s="4">
        <f>((-1.0987298*(1.3/1.5))*0.6)-0.3</f>
        <v>-0.87133949600000005</v>
      </c>
    </row>
    <row r="2428" spans="1:6" x14ac:dyDescent="0.4">
      <c r="A2428" s="4">
        <v>2122.86805</v>
      </c>
      <c r="B2428" s="4">
        <v>1.2267269000000001</v>
      </c>
      <c r="C2428" s="4">
        <v>1.2710831</v>
      </c>
      <c r="D2428" s="4">
        <v>-30.098103999999999</v>
      </c>
      <c r="E2428" s="4">
        <f>(((((((((-31.8528018/(10/9))+-10.5)+-0.4)*0.98)*1.11)*0.85)-6.5)+3.2)+-0.3)+0.3</f>
        <v>-39.885317515500596</v>
      </c>
      <c r="F2428" s="4">
        <f>((-1.0989437*(1.3/1.5))*0.6)-0.3</f>
        <v>-0.87145072400000001</v>
      </c>
    </row>
    <row r="2429" spans="1:6" x14ac:dyDescent="0.4">
      <c r="A2429" s="4">
        <v>2123.7429750000001</v>
      </c>
      <c r="B2429" s="4">
        <v>1.2271354999999999</v>
      </c>
      <c r="C2429" s="4">
        <v>1.2710421999999999</v>
      </c>
      <c r="D2429" s="4">
        <v>-30.100262999999998</v>
      </c>
      <c r="E2429" s="4">
        <f>(((((((((-31.8507561/(10/9))+-10.5)+-0.4)*0.98)*1.11)*0.85)-6.5)+3.2)+-0.3)+0.3</f>
        <v>-39.883615151468696</v>
      </c>
      <c r="F2429" s="4">
        <f>((-1.099143*(1.3/1.5))*0.6)-0.3</f>
        <v>-0.87155435999999997</v>
      </c>
    </row>
    <row r="2430" spans="1:6" x14ac:dyDescent="0.4">
      <c r="A2430" s="4">
        <v>2124.6178999999997</v>
      </c>
      <c r="B2430" s="4">
        <v>1.2273291</v>
      </c>
      <c r="C2430" s="4">
        <v>1.2714622</v>
      </c>
      <c r="D2430" s="4">
        <v>-30.102128</v>
      </c>
      <c r="E2430" s="4">
        <f>(((((((((-31.8708333/(10/9))+-10.5)+-0.4)*0.98)*1.11)*0.85)-6.5)+3.2)+-0.3)+0.3</f>
        <v>-39.900322734761097</v>
      </c>
      <c r="F2430" s="4">
        <f>((-1.099326*(1.3/1.5))*0.6)-0.3</f>
        <v>-0.87164952000000007</v>
      </c>
    </row>
    <row r="2431" spans="1:6" x14ac:dyDescent="0.4">
      <c r="A2431" s="4">
        <v>2125.4928250000003</v>
      </c>
      <c r="B2431" s="4">
        <v>1.2276292</v>
      </c>
      <c r="C2431" s="4">
        <v>1.2718394</v>
      </c>
      <c r="D2431" s="4">
        <v>-30.104265999999999</v>
      </c>
      <c r="E2431" s="4">
        <f>(((((((((-31.8400272/(10/9))+-10.5)+-0.4)*0.98)*1.11)*0.85)-6.5)+3.2)+-0.3)+0.3</f>
        <v>-39.874686914942401</v>
      </c>
      <c r="F2431" s="4">
        <f>((-1.0994315*(1.3/1.5))*0.6)-0.3</f>
        <v>-0.87170437999999995</v>
      </c>
    </row>
    <row r="2432" spans="1:6" x14ac:dyDescent="0.4">
      <c r="A2432" s="4">
        <v>2126.3677499999999</v>
      </c>
      <c r="B2432" s="4">
        <v>1.2276164000000001</v>
      </c>
      <c r="C2432" s="4">
        <v>1.2717518000000001</v>
      </c>
      <c r="D2432" s="4">
        <v>-30.106044000000001</v>
      </c>
      <c r="E2432" s="4">
        <f>(((((((((-31.8572856/(10/9))+-10.5)+-0.4)*0.98)*1.11)*0.85)-6.5)+3.2)+-0.3)+0.3</f>
        <v>-39.889048785895191</v>
      </c>
      <c r="F2432" s="4">
        <f>((-1.0995731*(1.3/1.5))*0.6)-0.3</f>
        <v>-0.87177801200000005</v>
      </c>
    </row>
    <row r="2433" spans="1:6" x14ac:dyDescent="0.4">
      <c r="A2433" s="4">
        <v>2127.242675</v>
      </c>
      <c r="B2433" s="4">
        <v>1.2279774999999999</v>
      </c>
      <c r="C2433" s="4">
        <v>1.2718985</v>
      </c>
      <c r="D2433" s="4">
        <v>-30.108378999999999</v>
      </c>
      <c r="E2433" s="4">
        <f>(((((((((-31.8122037/(10/9))+-10.5)+-0.4)*0.98)*1.11)*0.85)-6.5)+3.2)+-0.3)+0.3</f>
        <v>-39.851533116417897</v>
      </c>
      <c r="F2433" s="4">
        <f>((-1.099701*(1.3/1.5))*0.6)-0.3</f>
        <v>-0.87184452000000001</v>
      </c>
    </row>
    <row r="2434" spans="1:6" x14ac:dyDescent="0.4">
      <c r="A2434" s="4">
        <v>2128.1176</v>
      </c>
      <c r="B2434" s="4">
        <v>1.2281386000000001</v>
      </c>
      <c r="C2434" s="4">
        <v>1.2722211999999999</v>
      </c>
      <c r="D2434" s="4">
        <v>-30.110589000000001</v>
      </c>
      <c r="E2434" s="4">
        <f>(((((((((-31.8448368/(10/9))+-10.5)+-0.4)*0.98)*1.11)*0.85)-6.5)+3.2)+-0.3)+0.3</f>
        <v>-39.878689305345596</v>
      </c>
      <c r="F2434" s="4">
        <f>((-1.0998089*(1.3/1.5))*0.6)-0.3</f>
        <v>-0.8719006279999999</v>
      </c>
    </row>
    <row r="2435" spans="1:6" x14ac:dyDescent="0.4">
      <c r="A2435" s="4">
        <v>2128.9925250000001</v>
      </c>
      <c r="B2435" s="4">
        <v>1.2285211</v>
      </c>
      <c r="C2435" s="4">
        <v>1.2725168</v>
      </c>
      <c r="D2435" s="4">
        <v>-30.113094999999998</v>
      </c>
      <c r="E2435" s="4">
        <f>(((((((((-31.8729375/(10/9))+-10.5)+-0.4)*0.98)*1.11)*0.85)-6.5)+3.2)+-0.3)+0.3</f>
        <v>-39.902073780562496</v>
      </c>
      <c r="F2435" s="4">
        <f>((-1.0999287*(1.3/1.5))*0.6)-0.3</f>
        <v>-0.87196292399999997</v>
      </c>
    </row>
    <row r="2436" spans="1:6" x14ac:dyDescent="0.4">
      <c r="A2436" s="4">
        <v>2129.8674500000002</v>
      </c>
      <c r="B2436" s="4">
        <v>1.2286444999999999</v>
      </c>
      <c r="C2436" s="4">
        <v>1.2725489000000001</v>
      </c>
      <c r="D2436" s="4">
        <v>-30.115261999999998</v>
      </c>
      <c r="E2436" s="4">
        <f>(((((((((-31.8233583/(10/9))+-10.5)+-0.4)*0.98)*1.11)*0.85)-6.5)+3.2)+-0.3)+0.3</f>
        <v>-39.860815606436091</v>
      </c>
      <c r="F2436" s="4">
        <f>((-1.0999719*(1.3/1.5))*0.6)-0.3</f>
        <v>-0.87198538799999992</v>
      </c>
    </row>
    <row r="2437" spans="1:6" x14ac:dyDescent="0.4">
      <c r="A2437" s="4">
        <v>2130.7423749999998</v>
      </c>
      <c r="B2437" s="4">
        <v>1.2287182000000001</v>
      </c>
      <c r="C2437" s="4">
        <v>1.2728899</v>
      </c>
      <c r="D2437" s="4">
        <v>-30.117560999999998</v>
      </c>
      <c r="E2437" s="4">
        <f>(((((((((-31.8300327/(10/9))+-10.5)+-0.4)*0.98)*1.11)*0.85)-6.5)+3.2)+-0.3)+0.3</f>
        <v>-39.8663698218609</v>
      </c>
      <c r="F2437" s="4">
        <f>((-1.0999644*(1.3/1.5))*0.6)-0.3</f>
        <v>-0.87198148799999986</v>
      </c>
    </row>
    <row r="2438" spans="1:6" x14ac:dyDescent="0.4">
      <c r="A2438" s="4">
        <v>2131.6172999999999</v>
      </c>
      <c r="B2438" s="4">
        <v>1.2289311000000001</v>
      </c>
      <c r="C2438" s="4">
        <v>1.2731053999999999</v>
      </c>
      <c r="D2438" s="4">
        <v>-30.119674</v>
      </c>
      <c r="E2438" s="4">
        <f>(((((((((-31.8462651/(10/9))+-10.5)+-0.4)*0.98)*1.11)*0.85)-6.5)+3.2)+-0.3)+0.3</f>
        <v>-39.879877889471693</v>
      </c>
      <c r="F2438" s="4">
        <f>((-1.0999836*(1.3/1.5))*0.6)-0.3</f>
        <v>-0.87199147199999993</v>
      </c>
    </row>
    <row r="2439" spans="1:6" x14ac:dyDescent="0.4">
      <c r="A2439" s="4">
        <v>2132.492225</v>
      </c>
      <c r="B2439" s="4">
        <v>1.2291757999999999</v>
      </c>
      <c r="C2439" s="4">
        <v>1.2731109</v>
      </c>
      <c r="D2439" s="4">
        <v>-30.122277</v>
      </c>
      <c r="E2439" s="4">
        <f>(((((((((-31.8607155/(10/9))+-10.5)+-0.4)*0.98)*1.11)*0.85)-6.5)+3.2)+-0.3)+0.3</f>
        <v>-39.891903035488497</v>
      </c>
      <c r="F2439" s="4">
        <f>((-1.0999886*(1.3/1.5))*0.6)-0.3</f>
        <v>-0.87199407200000012</v>
      </c>
    </row>
    <row r="2440" spans="1:6" x14ac:dyDescent="0.4">
      <c r="A2440" s="4">
        <v>2133.36715</v>
      </c>
      <c r="B2440" s="4">
        <v>1.2293357</v>
      </c>
      <c r="C2440" s="4">
        <v>1.2734955999999999</v>
      </c>
      <c r="D2440" s="4">
        <v>-30.124258999999999</v>
      </c>
      <c r="E2440" s="4">
        <f>(((((((((-31.825611/(10/9))+-10.5)+-0.4)*0.98)*1.11)*0.85)-6.5)+3.2)+-0.3)+0.3</f>
        <v>-39.862690229036993</v>
      </c>
      <c r="F2440" s="4">
        <f>((-1.1000221*(1.3/1.5))*0.6)-0.3</f>
        <v>-0.87201149199999994</v>
      </c>
    </row>
    <row r="2441" spans="1:6" x14ac:dyDescent="0.4">
      <c r="A2441" s="4">
        <v>2134.2420750000001</v>
      </c>
      <c r="B2441" s="4">
        <v>1.2294297999999999</v>
      </c>
      <c r="C2441" s="4">
        <v>1.2732904</v>
      </c>
      <c r="D2441" s="4">
        <v>-30.126749999999998</v>
      </c>
      <c r="E2441" s="4">
        <f>(((((((((-31.818123/(10/9))+-10.5)+-0.4)*0.98)*1.11)*0.85)-6.5)+3.2)+-0.3)+0.3</f>
        <v>-39.856458962540991</v>
      </c>
      <c r="F2441" s="4">
        <f>((-1.1000218*(1.3/1.5))*0.6)-0.3</f>
        <v>-0.87201133599999991</v>
      </c>
    </row>
    <row r="2442" spans="1:6" x14ac:dyDescent="0.4">
      <c r="A2442" s="4">
        <v>2135.1170000000002</v>
      </c>
      <c r="B2442" s="4">
        <v>1.2297518999999999</v>
      </c>
      <c r="C2442" s="4">
        <v>1.2738107000000001</v>
      </c>
      <c r="D2442" s="4">
        <v>-30.129208999999999</v>
      </c>
      <c r="E2442" s="4">
        <f>(((((((((-31.8391821/(10/9))+-10.5)+-0.4)*0.98)*1.11)*0.85)-6.5)+3.2)+-0.3)+0.3</f>
        <v>-39.873983650610697</v>
      </c>
      <c r="F2442" s="4">
        <f>((-1.1000471*(1.3/1.5))*0.6)-0.3</f>
        <v>-0.87202449199999998</v>
      </c>
    </row>
    <row r="2443" spans="1:6" x14ac:dyDescent="0.4">
      <c r="A2443" s="4">
        <v>2135.9919249999998</v>
      </c>
      <c r="B2443" s="4">
        <v>1.2300278</v>
      </c>
      <c r="C2443" s="4">
        <v>1.2739735000000001</v>
      </c>
      <c r="D2443" s="4">
        <v>-30.131450000000001</v>
      </c>
      <c r="E2443" s="4">
        <f>(((((((((-31.8093786/(10/9))+-10.5)+-0.4)*0.98)*1.11)*0.85)-6.5)+3.2)+-0.3)+0.3</f>
        <v>-39.849182161426199</v>
      </c>
      <c r="F2443" s="4">
        <f>((-1.1000912*(1.3/1.5))*0.6)-0.3</f>
        <v>-0.87204742400000002</v>
      </c>
    </row>
    <row r="2444" spans="1:6" x14ac:dyDescent="0.4">
      <c r="A2444" s="4">
        <v>2136.8668499999999</v>
      </c>
      <c r="B2444" s="4">
        <v>1.2297821</v>
      </c>
      <c r="C2444" s="4">
        <v>1.2740016999999999</v>
      </c>
      <c r="D2444" s="4">
        <v>-30.133993999999998</v>
      </c>
      <c r="E2444" s="4">
        <f>(((((((((-31.7956284/(10/9))+-10.5)+-0.4)*0.98)*1.11)*0.85)-6.5)+3.2)+-0.3)+0.3</f>
        <v>-39.837739698742787</v>
      </c>
      <c r="F2444" s="4">
        <f>((-1.1001172*(1.3/1.5))*0.6)-0.3</f>
        <v>-0.872060944</v>
      </c>
    </row>
    <row r="2445" spans="1:6" x14ac:dyDescent="0.4">
      <c r="A2445" s="4">
        <v>2137.741775</v>
      </c>
      <c r="B2445" s="4">
        <v>1.2300582</v>
      </c>
      <c r="C2445" s="4">
        <v>1.2742053</v>
      </c>
      <c r="D2445" s="4">
        <v>-30.136281</v>
      </c>
      <c r="E2445" s="4">
        <f>(((((((((-31.7830149/(10/9))+-10.5)+-0.4)*0.98)*1.11)*0.85)-6.5)+3.2)+-0.3)+0.3</f>
        <v>-39.827243160288297</v>
      </c>
      <c r="F2445" s="4">
        <f>((-1.1001129*(1.3/1.5))*0.6)-0.3</f>
        <v>-0.87205870799999996</v>
      </c>
    </row>
    <row r="2446" spans="1:6" x14ac:dyDescent="0.4">
      <c r="A2446" s="4">
        <v>2138.6167</v>
      </c>
      <c r="B2446" s="4">
        <v>1.2308797</v>
      </c>
      <c r="C2446" s="4">
        <v>1.2748113000000001</v>
      </c>
      <c r="D2446" s="4">
        <v>-30.139002999999999</v>
      </c>
      <c r="E2446" s="4">
        <f>(((((((((-31.8154041/(10/9))+-10.5)+-0.4)*0.98)*1.11)*0.85)-6.5)+3.2)+-0.3)+0.3</f>
        <v>-39.854196383684695</v>
      </c>
      <c r="F2446" s="4">
        <f>((-1.1000869*(1.3/1.5))*0.6)-0.3</f>
        <v>-0.87204518799999997</v>
      </c>
    </row>
    <row r="2447" spans="1:6" x14ac:dyDescent="0.4">
      <c r="A2447" s="4">
        <v>2139.4916250000001</v>
      </c>
      <c r="B2447" s="4">
        <v>1.2307847999999999</v>
      </c>
      <c r="C2447" s="4">
        <v>1.2748666</v>
      </c>
      <c r="D2447" s="4">
        <v>-30.141244</v>
      </c>
      <c r="E2447" s="4">
        <f>(((((((((-31.8155958/(10/9))+-10.5)+-0.4)*0.98)*1.11)*0.85)-6.5)+3.2)+-0.3)+0.3</f>
        <v>-39.854355910098597</v>
      </c>
      <c r="F2447" s="4">
        <f>((-1.1000099*(1.3/1.5))*0.6)-0.3</f>
        <v>-0.87200514799999995</v>
      </c>
    </row>
    <row r="2448" spans="1:6" x14ac:dyDescent="0.4">
      <c r="A2448" s="4">
        <v>2140.3665499999997</v>
      </c>
      <c r="B2448" s="4">
        <v>1.2310029</v>
      </c>
      <c r="C2448" s="4">
        <v>1.2752281000000001</v>
      </c>
      <c r="D2448" s="4">
        <v>-30.143736999999998</v>
      </c>
      <c r="E2448" s="4">
        <f>(((((((((-31.8180303/(10/9))+-10.5)+-0.4)*0.98)*1.11)*0.85)-6.5)+3.2)+-0.3)+0.3</f>
        <v>-39.856381820660097</v>
      </c>
      <c r="F2448" s="4">
        <f>((-1.0999281*(1.3/1.5))*0.6)-0.3</f>
        <v>-0.87196261199999991</v>
      </c>
    </row>
    <row r="2449" spans="1:6" x14ac:dyDescent="0.4">
      <c r="A2449" s="4">
        <v>2141.2414750000003</v>
      </c>
      <c r="B2449" s="4">
        <v>1.2311704000000001</v>
      </c>
      <c r="C2449" s="4">
        <v>1.2752489</v>
      </c>
      <c r="D2449" s="4">
        <v>-30.146471999999999</v>
      </c>
      <c r="E2449" s="4">
        <f>(((((((((-31.8139893/(10/9))+-10.5)+-0.4)*0.98)*1.11)*0.85)-6.5)+3.2)+-0.3)+0.3</f>
        <v>-39.853019033813098</v>
      </c>
      <c r="F2449" s="4">
        <f>((-1.0998824*(1.3/1.5))*0.6)-0.3</f>
        <v>-0.8719388480000001</v>
      </c>
    </row>
    <row r="2450" spans="1:6" x14ac:dyDescent="0.4">
      <c r="A2450" s="4">
        <v>2142.1163999999999</v>
      </c>
      <c r="B2450" s="4">
        <v>1.2313026</v>
      </c>
      <c r="C2450" s="4">
        <v>1.2754037</v>
      </c>
      <c r="D2450" s="4">
        <v>-30.149059999999999</v>
      </c>
      <c r="E2450" s="4">
        <f>(((((((((-31.7937267/(10/9))+-10.5)+-0.4)*0.98)*1.11)*0.85)-6.5)+3.2)+-0.3)+0.3</f>
        <v>-39.836157166758895</v>
      </c>
      <c r="F2450" s="4">
        <f>((-1.0999355*(1.3/1.5))*0.6)-0.3</f>
        <v>-0.87196645999999989</v>
      </c>
    </row>
    <row r="2451" spans="1:6" x14ac:dyDescent="0.4">
      <c r="A2451" s="4">
        <v>2142.991325</v>
      </c>
      <c r="B2451" s="4">
        <v>1.2314892</v>
      </c>
      <c r="C2451" s="4">
        <v>1.2754848999999999</v>
      </c>
      <c r="D2451" s="4">
        <v>-30.151983999999999</v>
      </c>
      <c r="E2451" s="4">
        <f>(((((((((-31.771575/(10/9))+-10.5)+-0.4)*0.98)*1.11)*0.85)-6.5)+3.2)+-0.3)+0.3</f>
        <v>-39.817723253025001</v>
      </c>
      <c r="F2451" s="4">
        <f>((-1.0999396*(1.3/1.5))*0.6)-0.3</f>
        <v>-0.87196859199999999</v>
      </c>
    </row>
    <row r="2452" spans="1:6" x14ac:dyDescent="0.4">
      <c r="A2452" s="4">
        <v>2143.86625</v>
      </c>
      <c r="B2452" s="4">
        <v>1.2316767</v>
      </c>
      <c r="C2452" s="4">
        <v>1.2758806</v>
      </c>
      <c r="D2452" s="4">
        <v>-30.154874</v>
      </c>
      <c r="E2452" s="4">
        <f>(((((((((-31.8031884/(10/9))+-10.5)+-0.4)*0.98)*1.11)*0.85)-6.5)+3.2)+-0.3)+0.3</f>
        <v>-39.844030881262796</v>
      </c>
      <c r="F2452" s="4">
        <f>((-1.0999665*(1.3/1.5))*0.6)-0.3</f>
        <v>-0.87198258000000006</v>
      </c>
    </row>
    <row r="2453" spans="1:6" x14ac:dyDescent="0.4">
      <c r="A2453" s="4">
        <v>2144.7411749999997</v>
      </c>
      <c r="B2453" s="4">
        <v>1.2320044999999999</v>
      </c>
      <c r="C2453" s="4">
        <v>1.2761939</v>
      </c>
      <c r="D2453" s="4">
        <v>-30.157584</v>
      </c>
      <c r="E2453" s="4">
        <f>(((((((((-31.789521/(10/9))+-10.5)+-0.4)*0.98)*1.11)*0.85)-6.5)+3.2)+-0.3)+0.3</f>
        <v>-39.832657322007002</v>
      </c>
      <c r="F2453" s="4">
        <f>((-1.100028*(1.3/1.5))*0.6)-0.3</f>
        <v>-0.87201455999999999</v>
      </c>
    </row>
    <row r="2454" spans="1:6" x14ac:dyDescent="0.4">
      <c r="A2454" s="4">
        <v>2145.6161000000002</v>
      </c>
      <c r="B2454" s="4">
        <v>1.2324183</v>
      </c>
      <c r="C2454" s="4">
        <v>1.2763423</v>
      </c>
      <c r="D2454" s="4">
        <v>-30.160385999999999</v>
      </c>
      <c r="E2454" s="4">
        <f>(((((((((-31.7775663/(10/9))+-10.5)+-0.4)*0.98)*1.11)*0.85)-6.5)+3.2)+-0.3)+0.3</f>
        <v>-39.822709015172101</v>
      </c>
      <c r="F2454" s="4">
        <f>((-1.1000466*(1.3/1.5))*0.6)-0.3</f>
        <v>-0.87202423200000001</v>
      </c>
    </row>
    <row r="2455" spans="1:6" x14ac:dyDescent="0.4">
      <c r="A2455" s="4">
        <v>2146.4910249999998</v>
      </c>
      <c r="B2455" s="4">
        <v>1.2323941</v>
      </c>
      <c r="C2455" s="4">
        <v>1.2768179</v>
      </c>
      <c r="D2455" s="4">
        <v>-30.163181999999999</v>
      </c>
      <c r="E2455" s="4">
        <f>(((((((((-31.7905848/(10/9))+-10.5)+-0.4)*0.98)*1.11)*0.85)-6.5)+3.2)+-0.3)+0.3</f>
        <v>-39.83354258126159</v>
      </c>
      <c r="F2455" s="4">
        <f>((-1.1001184*(1.3/1.5))*0.6)-0.3</f>
        <v>-0.8720615679999999</v>
      </c>
    </row>
    <row r="2456" spans="1:6" x14ac:dyDescent="0.4">
      <c r="A2456" s="4">
        <v>2147.3659500000003</v>
      </c>
      <c r="B2456" s="4">
        <v>1.2327288000000001</v>
      </c>
      <c r="C2456" s="4">
        <v>1.2767913</v>
      </c>
      <c r="D2456" s="4">
        <v>-30.166088999999999</v>
      </c>
      <c r="E2456" s="4">
        <f>(((((((((-31.7366766/(10/9))+-10.5)+-0.4)*0.98)*1.11)*0.85)-6.5)+3.2)+-0.3)+0.3</f>
        <v>-39.7886819561922</v>
      </c>
      <c r="F2456" s="4">
        <f>((-1.1001343*(1.3/1.5))*0.6)-0.3</f>
        <v>-0.87206983599999988</v>
      </c>
    </row>
    <row r="2457" spans="1:6" x14ac:dyDescent="0.4">
      <c r="A2457" s="4">
        <v>2148.240875</v>
      </c>
      <c r="B2457" s="4">
        <v>1.2329245</v>
      </c>
      <c r="C2457" s="4">
        <v>1.2771201999999999</v>
      </c>
      <c r="D2457" s="4">
        <v>-30.168838000000001</v>
      </c>
      <c r="E2457" s="4">
        <f>(((((((((-31.7553048/(10/9))+-10.5)+-0.4)*0.98)*1.11)*0.85)-6.5)+3.2)+-0.3)+0.3</f>
        <v>-39.804183729501595</v>
      </c>
      <c r="F2457" s="4">
        <f>((-1.1001445*(1.3/1.5))*0.6)-0.3</f>
        <v>-0.87207513999999997</v>
      </c>
    </row>
    <row r="2458" spans="1:6" x14ac:dyDescent="0.4">
      <c r="A2458" s="4">
        <v>2149.1158</v>
      </c>
      <c r="B2458" s="4">
        <v>1.2331281000000001</v>
      </c>
      <c r="C2458" s="4">
        <v>1.2772521999999999</v>
      </c>
      <c r="D2458" s="4">
        <v>-30.171457999999998</v>
      </c>
      <c r="E2458" s="4">
        <f>(((((((((-31.7612376/(10/9))+-10.5)+-0.4)*0.98)*1.11)*0.85)-6.5)+3.2)+-0.3)+0.3</f>
        <v>-39.809120809879197</v>
      </c>
      <c r="F2458" s="4">
        <f>((-1.1002409*(1.3/1.5))*0.6)-0.3</f>
        <v>-0.87212526800000001</v>
      </c>
    </row>
    <row r="2459" spans="1:6" x14ac:dyDescent="0.4">
      <c r="A2459" s="4">
        <v>2149.9907250000001</v>
      </c>
      <c r="B2459" s="4">
        <v>1.2333103000000001</v>
      </c>
      <c r="C2459" s="4">
        <v>1.2775103000000001</v>
      </c>
      <c r="D2459" s="4">
        <v>-30.174265999999999</v>
      </c>
      <c r="E2459" s="4">
        <f>(((((((((-31.7456235/(10/9))+-10.5)+-0.4)*0.98)*1.11)*0.85)-6.5)+3.2)+-0.3)+0.3</f>
        <v>-39.796127271124497</v>
      </c>
      <c r="F2459" s="4">
        <f>((-1.1003629*(1.3/1.5))*0.6)-0.3</f>
        <v>-0.87218870799999992</v>
      </c>
    </row>
    <row r="2460" spans="1:6" x14ac:dyDescent="0.4">
      <c r="A2460" s="4">
        <v>2150.8656499999997</v>
      </c>
      <c r="B2460" s="4">
        <v>1.2334958</v>
      </c>
      <c r="C2460" s="4">
        <v>1.2776915</v>
      </c>
      <c r="D2460" s="4">
        <v>-30.177039000000001</v>
      </c>
      <c r="E2460" s="4">
        <f>(((((((((-31.7479032/(10/9))+-10.5)+-0.4)*0.98)*1.11)*0.85)-6.5)+3.2)+-0.3)+0.3</f>
        <v>-39.798024362234393</v>
      </c>
      <c r="F2460" s="4">
        <f>((-1.100466*(1.3/1.5))*0.6)-0.3</f>
        <v>-0.87224232000000002</v>
      </c>
    </row>
    <row r="2461" spans="1:6" x14ac:dyDescent="0.4">
      <c r="A2461" s="4">
        <v>2151.7405750000003</v>
      </c>
      <c r="B2461" s="4">
        <v>1.2336556999999999</v>
      </c>
      <c r="C2461" s="4">
        <v>1.2778746999999999</v>
      </c>
      <c r="D2461" s="4">
        <v>-30.179653999999999</v>
      </c>
      <c r="E2461" s="4">
        <f>(((((((((-31.7542995/(10/9))+-10.5)+-0.4)*0.98)*1.11)*0.85)-6.5)+3.2)+-0.3)+0.3</f>
        <v>-39.803347152016485</v>
      </c>
      <c r="F2461" s="4">
        <f>((-1.1005757*(1.3/1.5))*0.6)-0.3</f>
        <v>-0.87229936400000008</v>
      </c>
    </row>
    <row r="2462" spans="1:6" x14ac:dyDescent="0.4">
      <c r="A2462" s="4">
        <v>2152.6154999999999</v>
      </c>
      <c r="B2462" s="4">
        <v>1.2340134</v>
      </c>
      <c r="C2462" s="4">
        <v>1.2779598999999999</v>
      </c>
      <c r="D2462" s="4">
        <v>-30.182357</v>
      </c>
      <c r="E2462" s="4">
        <f>(((((((((-31.7523735/(10/9))+-10.5)+-0.4)*0.98)*1.11)*0.85)-6.5)+3.2)+-0.3)+0.3</f>
        <v>-39.801744398374495</v>
      </c>
      <c r="F2462" s="4">
        <f>((-1.1007056*(1.3/1.5))*0.6)-0.3</f>
        <v>-0.87236691199999994</v>
      </c>
    </row>
    <row r="2463" spans="1:6" x14ac:dyDescent="0.4">
      <c r="A2463" s="4">
        <v>2153.490425</v>
      </c>
      <c r="B2463" s="4">
        <v>1.2343309</v>
      </c>
      <c r="C2463" s="4">
        <v>1.2782682999999999</v>
      </c>
      <c r="D2463" s="4">
        <v>-30.185475999999998</v>
      </c>
      <c r="E2463" s="4">
        <f>(((((((((-31.7427156/(10/9))+-10.5)+-0.4)*0.98)*1.11)*0.85)-6.5)+3.2)+-0.3)+0.3</f>
        <v>-39.793707412705203</v>
      </c>
      <c r="F2463" s="4">
        <f>((-1.1008872*(1.3/1.5))*0.6)-0.3</f>
        <v>-0.87246134399999997</v>
      </c>
    </row>
    <row r="2464" spans="1:6" x14ac:dyDescent="0.4">
      <c r="A2464" s="4">
        <v>2154.36535</v>
      </c>
      <c r="B2464" s="4">
        <v>1.2347789</v>
      </c>
      <c r="C2464" s="4">
        <v>1.2786645999999999</v>
      </c>
      <c r="D2464" s="4">
        <v>-30.187895999999999</v>
      </c>
      <c r="E2464" s="4">
        <f>(((((((((-31.7358666/(10/9))+-10.5)+-0.4)*0.98)*1.11)*0.85)-6.5)+3.2)+-0.3)+0.3</f>
        <v>-39.788007900922189</v>
      </c>
      <c r="F2464" s="4">
        <f>((-1.1011919*(1.3/1.5))*0.6)-0.3</f>
        <v>-0.87261978799999995</v>
      </c>
    </row>
    <row r="2465" spans="1:6" x14ac:dyDescent="0.4">
      <c r="A2465" s="4">
        <v>2155.2402750000001</v>
      </c>
      <c r="B2465" s="4">
        <v>1.2346531000000001</v>
      </c>
      <c r="C2465" s="4">
        <v>1.2788626000000001</v>
      </c>
      <c r="D2465" s="4">
        <v>-30.190754999999999</v>
      </c>
      <c r="E2465" s="4">
        <f>(((((((((-31.743783/(10/9))+-10.5)+-0.4)*0.98)*1.11)*0.85)-6.5)+3.2)+-0.3)+0.3</f>
        <v>-39.794595667761001</v>
      </c>
      <c r="F2465" s="4">
        <f>((-1.1014334*(1.3/1.5))*0.6)-0.3</f>
        <v>-0.87274536799999991</v>
      </c>
    </row>
    <row r="2466" spans="1:6" x14ac:dyDescent="0.4">
      <c r="A2466" s="4">
        <v>2156.1152000000002</v>
      </c>
      <c r="B2466" s="4">
        <v>1.2349828</v>
      </c>
      <c r="C2466" s="4">
        <v>1.2790215</v>
      </c>
      <c r="D2466" s="4">
        <v>-30.193483000000001</v>
      </c>
      <c r="E2466" s="4">
        <f>(((((((((-31.7004867/(10/9))+-10.5)+-0.4)*0.98)*1.11)*0.85)-6.5)+3.2)+-0.3)+0.3</f>
        <v>-39.758565915678901</v>
      </c>
      <c r="F2466" s="4">
        <f>((-1.1017007*(1.3/1.5))*0.6)-0.3</f>
        <v>-0.87288436400000013</v>
      </c>
    </row>
    <row r="2467" spans="1:6" x14ac:dyDescent="0.4">
      <c r="A2467" s="4">
        <v>2156.9901249999998</v>
      </c>
      <c r="B2467" s="4">
        <v>1.2353301000000001</v>
      </c>
      <c r="C2467" s="4">
        <v>1.2793329</v>
      </c>
      <c r="D2467" s="4">
        <v>-30.196238999999998</v>
      </c>
      <c r="E2467" s="4">
        <f>(((((((((-31.7268063/(10/9))+-10.5)+-0.4)*0.98)*1.11)*0.85)-6.5)+3.2)+-0.3)+0.3</f>
        <v>-39.780468218252096</v>
      </c>
      <c r="F2467" s="4">
        <f>((-1.1019548*(1.3/1.5))*0.6)-0.3</f>
        <v>-0.87301649599999998</v>
      </c>
    </row>
    <row r="2468" spans="1:6" x14ac:dyDescent="0.4">
      <c r="A2468" s="4">
        <v>2157.8650499999999</v>
      </c>
      <c r="B2468" s="4">
        <v>1.2356106</v>
      </c>
      <c r="C2468" s="4">
        <v>1.2798246</v>
      </c>
      <c r="D2468" s="4">
        <v>-30.198872999999999</v>
      </c>
      <c r="E2468" s="4">
        <f>(((((((((-31.7250684/(10/9))+-10.5)+-0.4)*0.98)*1.11)*0.85)-6.5)+3.2)+-0.3)+0.3</f>
        <v>-39.779021995222799</v>
      </c>
      <c r="F2468" s="4">
        <f>((-1.1022873*(1.3/1.5))*0.6)-0.3</f>
        <v>-0.8731893959999999</v>
      </c>
    </row>
    <row r="2469" spans="1:6" x14ac:dyDescent="0.4">
      <c r="A2469" s="4">
        <v>2158.739975</v>
      </c>
      <c r="B2469" s="4">
        <v>1.2358629999999999</v>
      </c>
      <c r="C2469" s="4">
        <v>1.2799571999999999</v>
      </c>
      <c r="D2469" s="4">
        <v>-30.201067999999999</v>
      </c>
      <c r="E2469" s="4">
        <f>(((((((((-31.7067597/(10/9))+-10.5)+-0.4)*0.98)*1.11)*0.85)-6.5)+3.2)+-0.3)+0.3</f>
        <v>-39.7637860992699</v>
      </c>
      <c r="F2469" s="4">
        <f>((-1.1025355*(1.3/1.5))*0.6)-0.3</f>
        <v>-0.87331845999999991</v>
      </c>
    </row>
    <row r="2470" spans="1:6" x14ac:dyDescent="0.4">
      <c r="A2470" s="4">
        <v>2159.6149</v>
      </c>
      <c r="B2470" s="4">
        <v>1.2361896999999999</v>
      </c>
      <c r="C2470" s="4">
        <v>1.2805123</v>
      </c>
      <c r="D2470" s="4">
        <v>-30.203498</v>
      </c>
      <c r="E2470" s="4">
        <f>(((((((((-31.7068281/(10/9))+-10.5)+-0.4)*0.98)*1.11)*0.85)-6.5)+3.2)+-0.3)+0.3</f>
        <v>-39.76384301949269</v>
      </c>
      <c r="F2470" s="4">
        <f>((-1.1028292*(1.3/1.5))*0.6)-0.3</f>
        <v>-0.87347118400000001</v>
      </c>
    </row>
    <row r="2471" spans="1:6" x14ac:dyDescent="0.4">
      <c r="A2471" s="4">
        <v>2160.4898250000001</v>
      </c>
      <c r="B2471" s="4">
        <v>1.2361721000000001</v>
      </c>
      <c r="C2471" s="4">
        <v>1.2803736999999999</v>
      </c>
      <c r="D2471" s="4">
        <v>-30.205766000000001</v>
      </c>
      <c r="E2471" s="4">
        <f>(((((((((-31.7112291/(10/9))+-10.5)+-0.4)*0.98)*1.11)*0.85)-6.5)+3.2)+-0.3)+0.3</f>
        <v>-39.767505386459703</v>
      </c>
      <c r="F2471" s="4">
        <f>((-1.1032418*(1.3/1.5))*0.6)-0.3</f>
        <v>-0.87368573599999988</v>
      </c>
    </row>
    <row r="2472" spans="1:6" x14ac:dyDescent="0.4">
      <c r="A2472" s="4">
        <v>2161.3647500000002</v>
      </c>
      <c r="B2472" s="4">
        <v>1.2364826</v>
      </c>
      <c r="C2472" s="4">
        <v>1.2807599999999999</v>
      </c>
      <c r="D2472" s="4">
        <v>-30.208299</v>
      </c>
      <c r="E2472" s="4">
        <f>(((((((((-31.7199771/(10/9))+-10.5)+-0.4)*0.98)*1.11)*0.85)-6.5)+3.2)+-0.3)+0.3</f>
        <v>-39.774785183375691</v>
      </c>
      <c r="F2472" s="4">
        <f>((-1.1036109*(1.3/1.5))*0.6)-0.3</f>
        <v>-0.873877668</v>
      </c>
    </row>
    <row r="2473" spans="1:6" x14ac:dyDescent="0.4">
      <c r="A2473" s="4">
        <v>2162.2396749999998</v>
      </c>
      <c r="B2473" s="4">
        <v>1.2366197999999999</v>
      </c>
      <c r="C2473" s="4">
        <v>1.2807751000000001</v>
      </c>
      <c r="D2473" s="4">
        <v>-30.210747999999999</v>
      </c>
      <c r="E2473" s="4">
        <f>(((((((((-31.7025225/(10/9))+-10.5)+-0.4)*0.98)*1.11)*0.85)-6.5)+3.2)+-0.3)+0.3</f>
        <v>-39.760260041257489</v>
      </c>
      <c r="F2473" s="4">
        <f>((-1.1041347*(1.3/1.5))*0.6)-0.3</f>
        <v>-0.87415004399999985</v>
      </c>
    </row>
    <row r="2474" spans="1:6" x14ac:dyDescent="0.4">
      <c r="A2474" s="4">
        <v>2163.1145999999999</v>
      </c>
      <c r="B2474" s="4">
        <v>1.2368661999999999</v>
      </c>
      <c r="C2474" s="4">
        <v>1.2810862999999999</v>
      </c>
      <c r="D2474" s="4">
        <v>-30.213179999999998</v>
      </c>
      <c r="E2474" s="4">
        <f>(((((((((-31.6680084/(10/9))+-10.5)+-0.4)*0.98)*1.11)*0.85)-6.5)+3.2)+-0.3)+0.3</f>
        <v>-39.731538546202799</v>
      </c>
      <c r="F2474" s="4">
        <f>((-1.1047096*(1.3/1.5))*0.6)-0.3</f>
        <v>-0.87444899200000004</v>
      </c>
    </row>
    <row r="2475" spans="1:6" x14ac:dyDescent="0.4">
      <c r="A2475" s="4">
        <v>2163.989525</v>
      </c>
      <c r="B2475" s="4">
        <v>1.2371676</v>
      </c>
      <c r="C2475" s="4">
        <v>1.2812284</v>
      </c>
      <c r="D2475" s="4">
        <v>-30.215084999999998</v>
      </c>
      <c r="E2475" s="4">
        <f>(((((((((-31.6791972/(10/9))+-10.5)+-0.4)*0.98)*1.11)*0.85)-6.5)+3.2)+-0.3)+0.3</f>
        <v>-39.740849496332402</v>
      </c>
      <c r="F2475" s="4">
        <f>((-1.1052099*(1.3/1.5))*0.6)-0.3</f>
        <v>-0.87470914799999999</v>
      </c>
    </row>
    <row r="2476" spans="1:6" x14ac:dyDescent="0.4">
      <c r="A2476" s="4">
        <v>2164.86445</v>
      </c>
      <c r="B2476" s="4">
        <v>1.2374498</v>
      </c>
      <c r="C2476" s="4">
        <v>1.2814956</v>
      </c>
      <c r="D2476" s="4">
        <v>-30.217298</v>
      </c>
      <c r="E2476" s="4">
        <f>(((((((((-31.6495377/(10/9))+-10.5)+-0.4)*0.98)*1.11)*0.85)-6.5)+3.2)+-0.3)+0.3</f>
        <v>-39.716167839195897</v>
      </c>
      <c r="F2476" s="4">
        <f>((-1.1057235*(1.3/1.5))*0.6)-0.3</f>
        <v>-0.87497621999999997</v>
      </c>
    </row>
    <row r="2477" spans="1:6" x14ac:dyDescent="0.4">
      <c r="A2477" s="4">
        <v>2165.7393750000001</v>
      </c>
      <c r="B2477" s="4">
        <v>1.2377597</v>
      </c>
      <c r="C2477" s="4">
        <v>1.2820739000000001</v>
      </c>
      <c r="D2477" s="4">
        <v>-30.219262000000001</v>
      </c>
      <c r="E2477" s="4">
        <f>(((((((((-31.6876392/(10/9))+-10.5)+-0.4)*0.98)*1.11)*0.85)-6.5)+3.2)+-0.3)+0.3</f>
        <v>-39.747874650146393</v>
      </c>
      <c r="F2477" s="4">
        <f>((-1.106303*(1.3/1.5))*0.6)-0.3</f>
        <v>-0.87527756000000001</v>
      </c>
    </row>
    <row r="2478" spans="1:6" x14ac:dyDescent="0.4">
      <c r="A2478" s="4">
        <v>2166.6142999999997</v>
      </c>
      <c r="B2478" s="4">
        <v>1.238148</v>
      </c>
      <c r="C2478" s="4">
        <v>1.2824234999999999</v>
      </c>
      <c r="D2478" s="4">
        <v>-30.221157999999999</v>
      </c>
      <c r="E2478" s="4">
        <f>(((((((((-31.6763406/(10/9))+-10.5)+-0.4)*0.98)*1.11)*0.85)-6.5)+3.2)+-0.3)+0.3</f>
        <v>-39.738472328080192</v>
      </c>
      <c r="F2478" s="4">
        <f>((-1.1068257*(1.3/1.5))*0.6)-0.3</f>
        <v>-0.87554936399999983</v>
      </c>
    </row>
    <row r="2479" spans="1:6" x14ac:dyDescent="0.4">
      <c r="A2479" s="4">
        <v>2167.4892250000003</v>
      </c>
      <c r="B2479" s="4">
        <v>1.2382664999999999</v>
      </c>
      <c r="C2479" s="4">
        <v>1.2824703</v>
      </c>
      <c r="D2479" s="4">
        <v>-30.223212</v>
      </c>
      <c r="E2479" s="4">
        <f>(((((((((-31.6632915/(10/9))+-10.5)+-0.4)*0.98)*1.11)*0.85)-6.5)+3.2)+-0.3)+0.3</f>
        <v>-39.727613297680499</v>
      </c>
      <c r="F2479" s="4">
        <f>((-1.107361*(1.3/1.5))*0.6)-0.3</f>
        <v>-0.87582771999999998</v>
      </c>
    </row>
    <row r="2480" spans="1:6" x14ac:dyDescent="0.4">
      <c r="A2480" s="4">
        <v>2168.3641499999999</v>
      </c>
      <c r="B2480" s="4">
        <v>1.2385360000000001</v>
      </c>
      <c r="C2480" s="4">
        <v>1.2828643</v>
      </c>
      <c r="D2480" s="4">
        <v>-30.225107999999999</v>
      </c>
      <c r="E2480" s="4">
        <f>(((((((((-31.670982/(10/9))+-10.5)+-0.4)*0.98)*1.11)*0.85)-6.5)+3.2)+-0.3)+0.3</f>
        <v>-39.734013077993993</v>
      </c>
      <c r="F2480" s="4">
        <f>((-1.1079153*(1.3/1.5))*0.6)-0.3</f>
        <v>-0.87611595600000003</v>
      </c>
    </row>
    <row r="2481" spans="1:6" x14ac:dyDescent="0.4">
      <c r="A2481" s="4">
        <v>2169.2390750000004</v>
      </c>
      <c r="B2481" s="4">
        <v>1.2386571</v>
      </c>
      <c r="C2481" s="4">
        <v>1.2828736000000001</v>
      </c>
      <c r="D2481" s="4">
        <v>-30.227363</v>
      </c>
      <c r="E2481" s="4">
        <f>(((((((((-31.6391967/(10/9))+-10.5)+-0.4)*0.98)*1.11)*0.85)-6.5)+3.2)+-0.3)+0.3</f>
        <v>-39.707562400248896</v>
      </c>
      <c r="F2481" s="4">
        <f>((-1.1084909*(1.3/1.5))*0.6)-0.3</f>
        <v>-0.87641526799999991</v>
      </c>
    </row>
    <row r="2482" spans="1:6" x14ac:dyDescent="0.4">
      <c r="A2482" s="4">
        <v>2170.114</v>
      </c>
      <c r="B2482" s="4">
        <v>1.2391448</v>
      </c>
      <c r="C2482" s="4">
        <v>1.2834068999999999</v>
      </c>
      <c r="D2482" s="4">
        <v>-30.228929000000001</v>
      </c>
      <c r="E2482" s="4">
        <f>(((((((((-31.6699209/(10/9))+-10.5)+-0.4)*0.98)*1.11)*0.85)-6.5)+3.2)+-0.3)+0.3</f>
        <v>-39.733130065590302</v>
      </c>
      <c r="F2482" s="4">
        <f>((-1.1091435*(1.3/1.5))*0.6)-0.3</f>
        <v>-0.87675462000000004</v>
      </c>
    </row>
    <row r="2483" spans="1:6" x14ac:dyDescent="0.4">
      <c r="A2483" s="4">
        <v>2170.9889249999997</v>
      </c>
      <c r="B2483" s="4">
        <v>1.2392045</v>
      </c>
      <c r="C2483" s="4">
        <v>1.2833515</v>
      </c>
      <c r="D2483" s="4">
        <v>-30.230633999999998</v>
      </c>
      <c r="E2483" s="4">
        <f>(((((((((-31.647474/(10/9))+-10.5)+-0.4)*0.98)*1.11)*0.85)-6.5)+3.2)+-0.3)+0.3</f>
        <v>-39.714450496158001</v>
      </c>
      <c r="F2483" s="4">
        <f>((-1.1097174*(1.3/1.5))*0.6)-0.3</f>
        <v>-0.87705304800000006</v>
      </c>
    </row>
    <row r="2484" spans="1:6" x14ac:dyDescent="0.4">
      <c r="A2484" s="4">
        <v>2171.8638500000002</v>
      </c>
      <c r="B2484" s="4">
        <v>1.2394369000000001</v>
      </c>
      <c r="C2484" s="4">
        <v>1.2835662000000001</v>
      </c>
      <c r="D2484" s="4">
        <v>-30.232365999999999</v>
      </c>
      <c r="E2484" s="4">
        <f>(((((((((-31.6567575/(10/9))+-10.5)+-0.4)*0.98)*1.11)*0.85)-6.5)+3.2)+-0.3)+0.3</f>
        <v>-39.722175918502501</v>
      </c>
      <c r="F2484" s="4">
        <f>((-1.1102493*(1.3/1.5))*0.6)-0.3</f>
        <v>-0.87732963600000002</v>
      </c>
    </row>
    <row r="2485" spans="1:6" x14ac:dyDescent="0.4">
      <c r="A2485" s="4">
        <v>2172.7387749999998</v>
      </c>
      <c r="B2485" s="4">
        <v>1.2397149999999999</v>
      </c>
      <c r="C2485" s="4">
        <v>1.2839037</v>
      </c>
      <c r="D2485" s="4">
        <v>-30.234148999999999</v>
      </c>
      <c r="E2485" s="4">
        <f>(((((((((-31.6416789/(10/9))+-10.5)+-0.4)*0.98)*1.11)*0.85)-6.5)+3.2)+-0.3)+0.3</f>
        <v>-39.709628005176292</v>
      </c>
      <c r="F2485" s="4">
        <f>((-1.1108658*(1.3/1.5))*0.6)-0.3</f>
        <v>-0.87765021599999993</v>
      </c>
    </row>
    <row r="2486" spans="1:6" x14ac:dyDescent="0.4">
      <c r="A2486" s="4">
        <v>2173.6137000000003</v>
      </c>
      <c r="B2486" s="4">
        <v>1.2401373</v>
      </c>
      <c r="C2486" s="4">
        <v>1.2845666</v>
      </c>
      <c r="D2486" s="4">
        <v>-30.236139999999999</v>
      </c>
      <c r="E2486" s="4">
        <f>(((((((((-31.6329966/(10/9))+-10.5)+-0.4)*0.98)*1.11)*0.85)-6.5)+3.2)+-0.3)+0.3</f>
        <v>-39.702402881632196</v>
      </c>
      <c r="F2486" s="4">
        <f>((-1.1115068*(1.3/1.5))*0.6)-0.3</f>
        <v>-0.8779835359999999</v>
      </c>
    </row>
    <row r="2487" spans="1:6" x14ac:dyDescent="0.4">
      <c r="A2487" s="4">
        <v>2174.488625</v>
      </c>
      <c r="B2487" s="4">
        <v>1.2402377</v>
      </c>
      <c r="C2487" s="4">
        <v>1.2846827999999999</v>
      </c>
      <c r="D2487" s="4">
        <v>-30.237970000000001</v>
      </c>
      <c r="E2487" s="4">
        <f>(((((((((-31.6435023/(10/9))+-10.5)+-0.4)*0.98)*1.11)*0.85)-6.5)+3.2)+-0.3)+0.3</f>
        <v>-39.711145378484098</v>
      </c>
      <c r="F2487" s="4">
        <f>((-1.1121767*(1.3/1.5))*0.6)-0.3</f>
        <v>-0.87833188400000006</v>
      </c>
    </row>
    <row r="2488" spans="1:6" x14ac:dyDescent="0.4">
      <c r="A2488" s="4">
        <v>2175.36355</v>
      </c>
      <c r="B2488" s="4">
        <v>1.2404386999999999</v>
      </c>
      <c r="C2488" s="4">
        <v>1.2848065</v>
      </c>
      <c r="D2488" s="4">
        <v>-30.239737999999999</v>
      </c>
      <c r="E2488" s="4">
        <f>(((((((((-31.5939915/(10/9))+-10.5)+-0.4)*0.98)*1.11)*0.85)-6.5)+3.2)+-0.3)+0.3</f>
        <v>-39.669944124580503</v>
      </c>
      <c r="F2488" s="4">
        <f>((-1.1128992*(1.3/1.5))*0.6)-0.3</f>
        <v>-0.87870758400000004</v>
      </c>
    </row>
    <row r="2489" spans="1:6" x14ac:dyDescent="0.4">
      <c r="A2489" s="4">
        <v>2176.2384750000001</v>
      </c>
      <c r="B2489" s="4">
        <v>1.2408123</v>
      </c>
      <c r="C2489" s="4">
        <v>1.285061</v>
      </c>
      <c r="D2489" s="4">
        <v>-30.241005999999999</v>
      </c>
      <c r="E2489" s="4">
        <f>(((((((((-31.6621305/(10/9))+-10.5)+-0.4)*0.98)*1.11)*0.85)-6.5)+3.2)+-0.3)+0.3</f>
        <v>-39.7266471517935</v>
      </c>
      <c r="F2489" s="4">
        <f>((-1.1135873*(1.3/1.5))*0.6)-0.3</f>
        <v>-0.87906539600000011</v>
      </c>
    </row>
    <row r="2490" spans="1:6" x14ac:dyDescent="0.4">
      <c r="A2490" s="4">
        <v>2177.1133999999997</v>
      </c>
      <c r="B2490" s="4">
        <v>1.2410207</v>
      </c>
      <c r="C2490" s="4">
        <v>1.2853441000000001</v>
      </c>
      <c r="D2490" s="4">
        <v>-30.242630999999999</v>
      </c>
      <c r="E2490" s="4">
        <f>(((((((((-31.5848691/(10/9))+-10.5)+-0.4)*0.98)*1.11)*0.85)-6.5)+3.2)+-0.3)+0.3</f>
        <v>-39.662352764339701</v>
      </c>
      <c r="F2490" s="4">
        <f>((-1.1142564*(1.3/1.5))*0.6)-0.3</f>
        <v>-0.87941332800000005</v>
      </c>
    </row>
    <row r="2491" spans="1:6" x14ac:dyDescent="0.4">
      <c r="A2491" s="4">
        <v>2177.9883250000003</v>
      </c>
      <c r="B2491" s="4">
        <v>1.2414061999999999</v>
      </c>
      <c r="C2491" s="4">
        <v>1.2860034</v>
      </c>
      <c r="D2491" s="4">
        <v>-30.243648</v>
      </c>
      <c r="E2491" s="4">
        <f>(((((((((-31.6242486/(10/9))+-10.5)+-0.4)*0.98)*1.11)*0.85)-6.5)+3.2)+-0.3)+0.3</f>
        <v>-39.695123084716194</v>
      </c>
      <c r="F2491" s="4">
        <f>((-1.1148744*(1.3/1.5))*0.6)-0.3</f>
        <v>-0.87973468799999988</v>
      </c>
    </row>
    <row r="2492" spans="1:6" x14ac:dyDescent="0.4">
      <c r="A2492" s="4">
        <v>2178.8632499999999</v>
      </c>
      <c r="B2492" s="4">
        <v>1.2416102</v>
      </c>
      <c r="C2492" s="4">
        <v>1.2860497</v>
      </c>
      <c r="D2492" s="4">
        <v>-30.244775000000001</v>
      </c>
      <c r="E2492" s="4">
        <f>(((((((((-31.6223055/(10/9))+-10.5)+-0.4)*0.98)*1.11)*0.85)-6.5)+3.2)+-0.3)+0.3</f>
        <v>-39.6935061010185</v>
      </c>
      <c r="F2492" s="4">
        <f>((-1.1155236*(1.3/1.5))*0.6)-0.3</f>
        <v>-0.88007227200000004</v>
      </c>
    </row>
    <row r="2493" spans="1:6" x14ac:dyDescent="0.4">
      <c r="A2493" s="4">
        <v>2179.738175</v>
      </c>
      <c r="B2493" s="4">
        <v>1.2420076</v>
      </c>
      <c r="C2493" s="4">
        <v>1.2861814</v>
      </c>
      <c r="D2493" s="4">
        <v>-30.245933000000001</v>
      </c>
      <c r="E2493" s="4">
        <f>(((((((((-31.6043082/(10/9))+-10.5)+-0.4)*0.98)*1.11)*0.85)-6.5)+3.2)+-0.3)+0.3</f>
        <v>-39.678529341869393</v>
      </c>
      <c r="F2493" s="4">
        <f>((-1.1161906*(1.3/1.5))*0.6)-0.3</f>
        <v>-0.880419112</v>
      </c>
    </row>
    <row r="2494" spans="1:6" x14ac:dyDescent="0.4">
      <c r="A2494" s="4">
        <v>2180.6131</v>
      </c>
      <c r="B2494" s="4">
        <v>1.2423162000000001</v>
      </c>
      <c r="C2494" s="4">
        <v>1.2864580999999999</v>
      </c>
      <c r="D2494" s="4">
        <v>-30.247235</v>
      </c>
      <c r="E2494" s="4">
        <f>(((((((((-31.6004319/(10/9))+-10.5)+-0.4)*0.98)*1.11)*0.85)-6.5)+3.2)+-0.3)+0.3</f>
        <v>-39.675303612927301</v>
      </c>
      <c r="F2494" s="4">
        <f>((-1.1168511*(1.3/1.5))*0.6)-0.3</f>
        <v>-0.88076257200000008</v>
      </c>
    </row>
    <row r="2495" spans="1:6" x14ac:dyDescent="0.4">
      <c r="A2495" s="4">
        <v>2181.4880250000001</v>
      </c>
      <c r="B2495" s="4">
        <v>1.2424067000000001</v>
      </c>
      <c r="C2495" s="4">
        <v>1.2869301</v>
      </c>
      <c r="D2495" s="4">
        <v>-30.248265</v>
      </c>
      <c r="E2495" s="4">
        <f>(((((((((-31.5748611/(10/9))+-10.5)+-0.4)*0.98)*1.11)*0.85)-6.5)+3.2)+-0.3)+0.3</f>
        <v>-39.654024437003692</v>
      </c>
      <c r="F2495" s="4">
        <f>((-1.1175519*(1.3/1.5))*0.6)-0.3</f>
        <v>-0.88112698800000011</v>
      </c>
    </row>
    <row r="2496" spans="1:6" x14ac:dyDescent="0.4">
      <c r="A2496" s="4">
        <v>2182.3629500000002</v>
      </c>
      <c r="B2496" s="4">
        <v>1.2424643</v>
      </c>
      <c r="C2496" s="4">
        <v>1.2869955</v>
      </c>
      <c r="D2496" s="4">
        <v>-30.249199999999998</v>
      </c>
      <c r="E2496" s="4">
        <f>(((((((((-31.5837432/(10/9))+-10.5)+-0.4)*0.98)*1.11)*0.85)-6.5)+3.2)+-0.3)+0.3</f>
        <v>-39.661415827514396</v>
      </c>
      <c r="F2496" s="4">
        <f>((-1.118277*(1.3/1.5))*0.6)-0.3</f>
        <v>-0.88150404000000004</v>
      </c>
    </row>
    <row r="2497" spans="1:6" x14ac:dyDescent="0.4">
      <c r="A2497" s="4">
        <v>2183.2378749999998</v>
      </c>
      <c r="B2497" s="4">
        <v>1.2428167000000001</v>
      </c>
      <c r="C2497" s="4">
        <v>1.2872033000000001</v>
      </c>
      <c r="D2497" s="4">
        <v>-30.250287</v>
      </c>
      <c r="E2497" s="4">
        <f>(((((((((-31.5886086/(10/9))+-10.5)+-0.4)*0.98)*1.11)*0.85)-6.5)+3.2)+-0.3)+0.3</f>
        <v>-39.665464652836192</v>
      </c>
      <c r="F2497" s="4">
        <f>((-1.1189424*(1.3/1.5))*0.6)-0.3</f>
        <v>-0.881850048</v>
      </c>
    </row>
    <row r="2498" spans="1:6" x14ac:dyDescent="0.4">
      <c r="A2498" s="4">
        <v>2184.1127999999999</v>
      </c>
      <c r="B2498" s="4">
        <v>1.2431531</v>
      </c>
      <c r="C2498" s="4">
        <v>1.2877737</v>
      </c>
      <c r="D2498" s="4">
        <v>-30.251173999999999</v>
      </c>
      <c r="E2498" s="4">
        <f>(((((((((-31.5802548/(10/9))+-10.5)+-0.4)*0.98)*1.11)*0.85)-6.5)+3.2)+-0.3)+0.3</f>
        <v>-39.658512896151599</v>
      </c>
      <c r="F2498" s="4">
        <f>((-1.1195387*(1.3/1.5))*0.6)-0.3</f>
        <v>-0.8821601240000001</v>
      </c>
    </row>
    <row r="2499" spans="1:6" x14ac:dyDescent="0.4">
      <c r="A2499" s="4">
        <v>2184.987725</v>
      </c>
      <c r="B2499" s="4">
        <v>1.2433646</v>
      </c>
      <c r="C2499" s="4">
        <v>1.2878255000000001</v>
      </c>
      <c r="D2499" s="4">
        <v>-30.252368000000001</v>
      </c>
      <c r="E2499" s="4">
        <f>(((((((((-31.5556668/(10/9))+-10.5)+-0.4)*0.98)*1.11)*0.85)-6.5)+3.2)+-0.3)+0.3</f>
        <v>-39.638051573955593</v>
      </c>
      <c r="F2499" s="4">
        <f>((-1.1201215*(1.3/1.5))*0.6)-0.3</f>
        <v>-0.88246318000000001</v>
      </c>
    </row>
    <row r="2500" spans="1:6" x14ac:dyDescent="0.4">
      <c r="A2500" s="4">
        <v>2185.86265</v>
      </c>
      <c r="B2500" s="4">
        <v>1.2436024000000001</v>
      </c>
      <c r="C2500" s="4">
        <v>1.2884077</v>
      </c>
      <c r="D2500" s="4">
        <v>-30.253132999999998</v>
      </c>
      <c r="E2500" s="4">
        <f>(((((((((-31.5777285/(10/9))+-10.5)+-0.4)*0.98)*1.11)*0.85)-6.5)+3.2)+-0.3)+0.3</f>
        <v>-39.656410592659498</v>
      </c>
      <c r="F2500" s="4">
        <f>((-1.1206856*(1.3/1.5))*0.6)-0.3</f>
        <v>-0.88275651200000005</v>
      </c>
    </row>
    <row r="2501" spans="1:6" x14ac:dyDescent="0.4">
      <c r="A2501" s="4">
        <v>2186.7375750000001</v>
      </c>
      <c r="B2501" s="4">
        <v>1.2441355999999999</v>
      </c>
      <c r="C2501" s="4">
        <v>1.2886470999999999</v>
      </c>
      <c r="D2501" s="4">
        <v>-30.254379999999998</v>
      </c>
      <c r="E2501" s="4">
        <f>(((((((((-31.5562464/(10/9))+-10.5)+-0.4)*0.98)*1.11)*0.85)-6.5)+3.2)+-0.3)+0.3</f>
        <v>-39.638533897948797</v>
      </c>
      <c r="F2501" s="4">
        <f>((-1.1212651*(1.3/1.5))*0.6)-0.3</f>
        <v>-0.88305785199999987</v>
      </c>
    </row>
    <row r="2502" spans="1:6" x14ac:dyDescent="0.4">
      <c r="A2502" s="4">
        <v>2187.6125000000002</v>
      </c>
      <c r="B2502" s="4">
        <v>1.2442673</v>
      </c>
      <c r="C2502" s="4">
        <v>1.2886702999999999</v>
      </c>
      <c r="D2502" s="4">
        <v>-30.255382000000001</v>
      </c>
      <c r="E2502" s="4">
        <f>(((((((((-31.5785862/(10/9))+-10.5)+-0.4)*0.98)*1.11)*0.85)-6.5)+3.2)+-0.3)+0.3</f>
        <v>-39.65712434229539</v>
      </c>
      <c r="F2502" s="4">
        <f>((-1.121886*(1.3/1.5))*0.6)-0.3</f>
        <v>-0.8833807199999999</v>
      </c>
    </row>
    <row r="2503" spans="1:6" x14ac:dyDescent="0.4">
      <c r="A2503" s="4">
        <v>2188.4874249999998</v>
      </c>
      <c r="B2503" s="4">
        <v>1.2445383000000001</v>
      </c>
      <c r="C2503" s="4">
        <v>1.2887708</v>
      </c>
      <c r="D2503" s="4">
        <v>-30.256350999999999</v>
      </c>
      <c r="E2503" s="4">
        <f>(((((((((-31.5845532/(10/9))+-10.5)+-0.4)*0.98)*1.11)*0.85)-6.5)+3.2)+-0.3)+0.3</f>
        <v>-39.6620898827844</v>
      </c>
      <c r="F2503" s="4">
        <f>((-1.1224179*(1.3/1.5))*0.6)-0.3</f>
        <v>-0.88365730800000009</v>
      </c>
    </row>
    <row r="2504" spans="1:6" x14ac:dyDescent="0.4">
      <c r="A2504" s="4">
        <v>2189.3623499999999</v>
      </c>
      <c r="B2504" s="4">
        <v>1.2446811</v>
      </c>
      <c r="C2504" s="4">
        <v>1.2895108</v>
      </c>
      <c r="D2504" s="4">
        <v>-30.257418999999999</v>
      </c>
      <c r="E2504" s="4">
        <f>(((((((((-31.5282276/(10/9))+-10.5)+-0.4)*0.98)*1.11)*0.85)-6.5)+3.2)+-0.3)+0.3</f>
        <v>-39.615217577209201</v>
      </c>
      <c r="F2504" s="4">
        <f>((-1.1228144*(1.3/1.5))*0.6)-0.3</f>
        <v>-0.88386348800000003</v>
      </c>
    </row>
    <row r="2505" spans="1:6" x14ac:dyDescent="0.4">
      <c r="A2505" s="4">
        <v>2190.237275</v>
      </c>
      <c r="B2505" s="4">
        <v>1.2450783999999999</v>
      </c>
      <c r="C2505" s="4">
        <v>1.2895749000000001</v>
      </c>
      <c r="D2505" s="4">
        <v>-30.258102000000001</v>
      </c>
      <c r="E2505" s="4">
        <f>(((((((((-31.5749745/(10/9))+-10.5)+-0.4)*0.98)*1.11)*0.85)-6.5)+3.2)+-0.3)+0.3</f>
        <v>-39.654118804741501</v>
      </c>
      <c r="F2505" s="4">
        <f>((-1.1232708*(1.3/1.5))*0.6)-0.3</f>
        <v>-0.88410081600000012</v>
      </c>
    </row>
    <row r="2506" spans="1:6" x14ac:dyDescent="0.4">
      <c r="A2506" s="4">
        <v>2191.1122</v>
      </c>
      <c r="B2506" s="4">
        <v>1.2450129999999999</v>
      </c>
      <c r="C2506" s="4">
        <v>1.2896529000000001</v>
      </c>
      <c r="D2506" s="4">
        <v>-30.258770999999999</v>
      </c>
      <c r="E2506" s="4">
        <f>(((((((((-31.5691965/(10/9))+-10.5)+-0.4)*0.98)*1.11)*0.85)-6.5)+3.2)+-0.3)+0.3</f>
        <v>-39.649310543815496</v>
      </c>
      <c r="F2506" s="4">
        <f>((-1.1236687*(1.3/1.5))*0.6)-0.3</f>
        <v>-0.88430772400000013</v>
      </c>
    </row>
    <row r="2507" spans="1:6" x14ac:dyDescent="0.4">
      <c r="A2507" s="4">
        <v>2191.9871250000001</v>
      </c>
      <c r="B2507" s="4">
        <v>1.2455651999999999</v>
      </c>
      <c r="C2507" s="4">
        <v>1.2901248000000001</v>
      </c>
      <c r="D2507" s="4">
        <v>-30.259516999999999</v>
      </c>
      <c r="E2507" s="4">
        <f>(((((((((-31.5388881/(10/9))+-10.5)+-0.4)*0.98)*1.11)*0.85)-6.5)+3.2)+-0.3)+0.3</f>
        <v>-39.624088893512692</v>
      </c>
      <c r="F2507" s="4">
        <f>((-1.1241078*(1.3/1.5))*0.6)-0.3</f>
        <v>-0.88453605599999996</v>
      </c>
    </row>
    <row r="2508" spans="1:6" x14ac:dyDescent="0.4">
      <c r="A2508" s="4">
        <v>2192.8620499999997</v>
      </c>
      <c r="B2508" s="4">
        <v>1.2457285</v>
      </c>
      <c r="C2508" s="4">
        <v>1.2904971000000001</v>
      </c>
      <c r="D2508" s="4">
        <v>-30.259999000000001</v>
      </c>
      <c r="E2508" s="4">
        <f>(((((((((-31.537278/(10/9))+-10.5)+-0.4)*0.98)*1.11)*0.85)-6.5)+3.2)+-0.3)+0.3</f>
        <v>-39.622749021426003</v>
      </c>
      <c r="F2508" s="4">
        <f>((-1.1244422*(1.3/1.5))*0.6)-0.3</f>
        <v>-0.88470994399999991</v>
      </c>
    </row>
    <row r="2509" spans="1:6" x14ac:dyDescent="0.4">
      <c r="A2509" s="4">
        <v>2193.7369750000003</v>
      </c>
      <c r="B2509" s="4">
        <v>1.2460363999999999</v>
      </c>
      <c r="C2509" s="4">
        <v>1.2905818</v>
      </c>
      <c r="D2509" s="4">
        <v>-30.260975999999999</v>
      </c>
      <c r="E2509" s="4">
        <f>(((((((((-31.5428022/(10/9))+-10.5)+-0.4)*0.98)*1.11)*0.85)-6.5)+3.2)+-0.3)+0.3</f>
        <v>-39.627346078367395</v>
      </c>
      <c r="F2509" s="4">
        <f>((-1.1248157*(1.3/1.5))*0.6)-0.3</f>
        <v>-0.88490416399999994</v>
      </c>
    </row>
    <row r="2510" spans="1:6" x14ac:dyDescent="0.4">
      <c r="A2510" s="4">
        <v>2194.6118999999999</v>
      </c>
      <c r="B2510" s="4">
        <v>1.2466257999999999</v>
      </c>
      <c r="C2510" s="4">
        <v>1.2912182000000001</v>
      </c>
      <c r="D2510" s="4">
        <v>-30.261530999999998</v>
      </c>
      <c r="E2510" s="4">
        <f>(((((((((-31.5540216/(10/9))+-10.5)+-0.4)*0.98)*1.11)*0.85)-6.5)+3.2)+-0.3)+0.3</f>
        <v>-39.636682492807196</v>
      </c>
      <c r="F2510" s="4">
        <f>((-1.1252183*(1.3/1.5))*0.6)-0.3</f>
        <v>-0.8851135160000001</v>
      </c>
    </row>
    <row r="2511" spans="1:6" x14ac:dyDescent="0.4">
      <c r="A2511" s="4">
        <v>2195.4868250000004</v>
      </c>
      <c r="B2511" s="4">
        <v>1.2468963</v>
      </c>
      <c r="C2511" s="4">
        <v>1.2915565</v>
      </c>
      <c r="D2511" s="4">
        <v>-30.262401000000001</v>
      </c>
      <c r="E2511" s="4">
        <f>(((((((((-31.5289863/(10/9))+-10.5)+-0.4)*0.98)*1.11)*0.85)-6.5)+3.2)+-0.3)+0.3</f>
        <v>-39.615848942312098</v>
      </c>
      <c r="F2511" s="4">
        <f>((-1.1255543*(1.3/1.5))*0.6)-0.3</f>
        <v>-0.88528823599999984</v>
      </c>
    </row>
    <row r="2512" spans="1:6" x14ac:dyDescent="0.4">
      <c r="A2512" s="4">
        <v>2196.36175</v>
      </c>
      <c r="B2512" s="4">
        <v>1.2467604000000001</v>
      </c>
      <c r="C2512" s="4">
        <v>1.2914114999999999</v>
      </c>
      <c r="D2512" s="4">
        <v>-30.263598999999999</v>
      </c>
      <c r="E2512" s="4">
        <f>(((((((((-31.5467226/(10/9))+-10.5)+-0.4)*0.98)*1.11)*0.85)-6.5)+3.2)+-0.3)+0.3</f>
        <v>-39.6306085058742</v>
      </c>
      <c r="F2512" s="4">
        <f>((-1.1258248*(1.3/1.5))*0.6)-0.3</f>
        <v>-0.88542889599999985</v>
      </c>
    </row>
    <row r="2513" spans="1:6" x14ac:dyDescent="0.4">
      <c r="A2513" s="4">
        <v>2197.2366749999997</v>
      </c>
      <c r="B2513" s="4">
        <v>1.2469684999999999</v>
      </c>
      <c r="C2513" s="4">
        <v>1.2916460999999999</v>
      </c>
      <c r="D2513" s="4">
        <v>-30.263905999999999</v>
      </c>
      <c r="E2513" s="4">
        <f>(((((((((-31.5621756/(10/9))+-10.5)+-0.4)*0.98)*1.11)*0.85)-6.5)+3.2)+-0.3)+0.3</f>
        <v>-39.643467982525202</v>
      </c>
      <c r="F2513" s="4">
        <f>((-1.1260051*(1.3/1.5))*0.6)-0.3</f>
        <v>-0.88552265199999991</v>
      </c>
    </row>
    <row r="2514" spans="1:6" x14ac:dyDescent="0.4">
      <c r="A2514" s="4">
        <v>2198.1116000000002</v>
      </c>
      <c r="B2514" s="4">
        <v>1.2472433999999999</v>
      </c>
      <c r="C2514" s="4">
        <v>1.2919517</v>
      </c>
      <c r="D2514" s="4">
        <v>-30.264917000000001</v>
      </c>
      <c r="E2514" s="4">
        <f>(((((((((-31.5467163/(10/9))+-10.5)+-0.4)*0.98)*1.11)*0.85)-6.5)+3.2)+-0.3)+0.3</f>
        <v>-39.630603263222099</v>
      </c>
      <c r="F2514" s="4">
        <f>((-1.1260608*(1.3/1.5))*0.6)-0.3</f>
        <v>-0.8855516160000001</v>
      </c>
    </row>
    <row r="2515" spans="1:6" x14ac:dyDescent="0.4">
      <c r="A2515" s="4">
        <v>2198.9865249999998</v>
      </c>
      <c r="B2515" s="4">
        <v>1.2477164000000001</v>
      </c>
      <c r="C2515" s="4">
        <v>1.2922806</v>
      </c>
      <c r="D2515" s="4">
        <v>-30.265722999999998</v>
      </c>
      <c r="E2515" s="4">
        <f>(((((((((-31.5508527/(10/9))+-10.5)+-0.4)*0.98)*1.11)*0.85)-6.5)+3.2)+-0.3)+0.3</f>
        <v>-39.634045438800896</v>
      </c>
      <c r="F2515" s="4">
        <f>((-1.126188*(1.3/1.5))*0.6)-0.3</f>
        <v>-0.88561775999999992</v>
      </c>
    </row>
    <row r="2516" spans="1:6" x14ac:dyDescent="0.4">
      <c r="A2516" s="4">
        <v>2199.8614500000003</v>
      </c>
      <c r="B2516" s="4">
        <v>1.247967</v>
      </c>
      <c r="C2516" s="4">
        <v>1.2925930000000001</v>
      </c>
      <c r="D2516" s="4">
        <v>-30.266783999999998</v>
      </c>
      <c r="E2516" s="4">
        <f>(((((((((-31.5271944/(10/9))+-10.5)+-0.4)*0.98)*1.11)*0.85)-6.5)+3.2)+-0.3)+0.3</f>
        <v>-39.614357782264797</v>
      </c>
      <c r="F2516" s="4">
        <f>((-1.1262792*(1.3/1.5))*0.6)-0.3</f>
        <v>-0.88566518400000005</v>
      </c>
    </row>
    <row r="2517" spans="1:6" x14ac:dyDescent="0.4">
      <c r="A2517" s="4">
        <v>2200.736375</v>
      </c>
      <c r="B2517" s="4">
        <v>1.2482648000000001</v>
      </c>
      <c r="C2517" s="4">
        <v>1.2931063</v>
      </c>
      <c r="D2517" s="4">
        <v>-30.267865</v>
      </c>
      <c r="E2517" s="4">
        <f>(((((((((-31.5555741/(10/9))+-10.5)+-0.4)*0.98)*1.11)*0.85)-6.5)+3.2)+-0.3)+0.3</f>
        <v>-39.637974432074699</v>
      </c>
      <c r="F2517" s="4">
        <f>((-1.1263105*(1.3/1.5))*0.6)-0.3</f>
        <v>-0.88568146000000003</v>
      </c>
    </row>
    <row r="2518" spans="1:6" x14ac:dyDescent="0.4">
      <c r="A2518" s="4">
        <v>2201.6113</v>
      </c>
      <c r="B2518" s="4">
        <v>1.2484592999999999</v>
      </c>
      <c r="C2518" s="4">
        <v>1.2931979</v>
      </c>
      <c r="D2518" s="4">
        <v>-30.269034999999999</v>
      </c>
      <c r="E2518" s="4">
        <f>(((((((((-31.5328941/(10/9))+-10.5)+-0.4)*0.98)*1.11)*0.85)-6.5)+3.2)+-0.3)+0.3</f>
        <v>-39.619100884514694</v>
      </c>
      <c r="F2518" s="4">
        <f>((-1.1262695*(1.3/1.5))*0.6)-0.3</f>
        <v>-0.88566013999999993</v>
      </c>
    </row>
    <row r="2519" spans="1:6" x14ac:dyDescent="0.4">
      <c r="A2519" s="4">
        <v>2202.4862250000001</v>
      </c>
      <c r="B2519" s="4">
        <v>1.2488089</v>
      </c>
      <c r="C2519" s="4">
        <v>1.293196</v>
      </c>
      <c r="D2519" s="4">
        <v>-30.269926999999999</v>
      </c>
      <c r="E2519" s="4">
        <f>(((((((((-31.506327/(10/9))+-10.5)+-0.4)*0.98)*1.11)*0.85)-6.5)+3.2)+-0.3)+0.3</f>
        <v>-39.596992620608994</v>
      </c>
      <c r="F2519" s="4">
        <f>((-1.1262592*(1.3/1.5))*0.6)-0.3</f>
        <v>-0.88565478399999997</v>
      </c>
    </row>
    <row r="2520" spans="1:6" x14ac:dyDescent="0.4">
      <c r="A2520" s="4">
        <v>2203.3611499999997</v>
      </c>
      <c r="B2520" s="4">
        <v>1.2488317</v>
      </c>
      <c r="C2520" s="4">
        <v>1.2935838</v>
      </c>
      <c r="D2520" s="4">
        <v>-30.271224</v>
      </c>
      <c r="E2520" s="4">
        <f>(((((((((-31.5166473/(10/9))+-10.5)+-0.4)*0.98)*1.11)*0.85)-6.5)+3.2)+-0.3)+0.3</f>
        <v>-39.605580833699086</v>
      </c>
      <c r="F2520" s="4">
        <f>((-1.1262478*(1.3/1.5))*0.6)-0.3</f>
        <v>-0.88564885599999998</v>
      </c>
    </row>
    <row r="2521" spans="1:6" x14ac:dyDescent="0.4">
      <c r="A2521" s="4">
        <v>2204.2360750000003</v>
      </c>
      <c r="B2521" s="4">
        <v>1.2492614</v>
      </c>
      <c r="C2521" s="4">
        <v>1.2940605999999999</v>
      </c>
      <c r="D2521" s="4">
        <v>-30.272147</v>
      </c>
      <c r="E2521" s="4">
        <f>(((((((((-31.5504063/(10/9))+-10.5)+-0.4)*0.98)*1.11)*0.85)-6.5)+3.2)+-0.3)+0.3</f>
        <v>-39.633673959452089</v>
      </c>
      <c r="F2521" s="4">
        <f>((-1.1261508*(1.3/1.5))*0.6)-0.3</f>
        <v>-0.88559841599999989</v>
      </c>
    </row>
    <row r="2522" spans="1:6" x14ac:dyDescent="0.4">
      <c r="A2522" s="4">
        <v>2205.1109999999999</v>
      </c>
      <c r="B2522" s="4">
        <v>1.2495403</v>
      </c>
      <c r="C2522" s="4">
        <v>1.2939343000000001</v>
      </c>
      <c r="D2522" s="4">
        <v>-30.273553</v>
      </c>
      <c r="E2522" s="4">
        <f>(((((((((-31.5146493/(10/9))+-10.5)+-0.4)*0.98)*1.11)*0.85)-6.5)+3.2)+-0.3)+0.3</f>
        <v>-39.60391816403309</v>
      </c>
      <c r="F2522" s="4">
        <f>((-1.1259645*(1.3/1.5))*0.6)-0.3</f>
        <v>-0.88550153999999992</v>
      </c>
    </row>
    <row r="2523" spans="1:6" x14ac:dyDescent="0.4">
      <c r="A2523" s="4">
        <v>2205.985925</v>
      </c>
      <c r="B2523" s="4">
        <v>1.2495970999999999</v>
      </c>
      <c r="C2523" s="4">
        <v>1.2942472</v>
      </c>
      <c r="D2523" s="4">
        <v>-30.275406999999998</v>
      </c>
      <c r="E2523" s="4">
        <f>(((((((((-31.5255123/(10/9))+-10.5)+-0.4)*0.98)*1.11)*0.85)-6.5)+3.2)+-0.3)+0.3</f>
        <v>-39.612957994154094</v>
      </c>
      <c r="F2523" s="4">
        <f>((-1.1258123*(1.3/1.5))*0.6)-0.3</f>
        <v>-0.88542239600000006</v>
      </c>
    </row>
    <row r="2524" spans="1:6" x14ac:dyDescent="0.4">
      <c r="A2524" s="4">
        <v>2206.86085</v>
      </c>
      <c r="B2524" s="4">
        <v>1.2501262</v>
      </c>
      <c r="C2524" s="4">
        <v>1.2946743000000001</v>
      </c>
      <c r="D2524" s="4">
        <v>-30.277183000000001</v>
      </c>
      <c r="E2524" s="4">
        <f>(((((((((-31.5447147/(10/9))+-10.5)+-0.4)*0.98)*1.11)*0.85)-6.5)+3.2)+-0.3)+0.3</f>
        <v>-39.628937597754891</v>
      </c>
      <c r="F2524" s="4">
        <f>((-1.1257029*(1.3/1.5))*0.6)-0.3</f>
        <v>-0.88536550800000002</v>
      </c>
    </row>
    <row r="2525" spans="1:6" x14ac:dyDescent="0.4">
      <c r="A2525" s="4">
        <v>2207.7357750000001</v>
      </c>
      <c r="B2525" s="4">
        <v>1.2503431</v>
      </c>
      <c r="C2525" s="4">
        <v>1.2949921</v>
      </c>
      <c r="D2525" s="4">
        <v>-30.279015999999999</v>
      </c>
      <c r="E2525" s="4">
        <f>(((((((((-31.4999172/(10/9))+-10.5)+-0.4)*0.98)*1.11)*0.85)-6.5)+3.2)+-0.3)+0.3</f>
        <v>-39.591658596572394</v>
      </c>
      <c r="F2525" s="4">
        <f>((-1.1254905*(1.3/1.5))*0.6)-0.3</f>
        <v>-0.88525505999999998</v>
      </c>
    </row>
    <row r="2526" spans="1:6" x14ac:dyDescent="0.4">
      <c r="A2526" s="4">
        <v>2208.6107000000002</v>
      </c>
      <c r="B2526" s="4">
        <v>1.2506078</v>
      </c>
      <c r="C2526" s="4">
        <v>1.2953577999999999</v>
      </c>
      <c r="D2526" s="4">
        <v>-30.280146999999999</v>
      </c>
      <c r="E2526" s="4">
        <f>(((((((((-31.5390222/(10/9))+-10.5)+-0.4)*0.98)*1.11)*0.85)-6.5)+3.2)+-0.3)+0.3</f>
        <v>-39.624200487107402</v>
      </c>
      <c r="F2526" s="4">
        <f>((-1.1252173*(1.3/1.5))*0.6)-0.3</f>
        <v>-0.88511299599999993</v>
      </c>
    </row>
    <row r="2527" spans="1:6" x14ac:dyDescent="0.4">
      <c r="A2527" s="4">
        <v>2209.4856249999998</v>
      </c>
      <c r="B2527" s="4">
        <v>1.2508121000000001</v>
      </c>
      <c r="C2527" s="4">
        <v>1.2952564</v>
      </c>
      <c r="D2527" s="4">
        <v>-30.281639999999999</v>
      </c>
      <c r="E2527" s="4">
        <f>(((((((((-31.5356778/(10/9))+-10.5)+-0.4)*0.98)*1.11)*0.85)-6.5)+3.2)+-0.3)+0.3</f>
        <v>-39.621417387792597</v>
      </c>
      <c r="F2527" s="4">
        <f>((-1.1249131*(1.3/1.5))*0.6)-0.3</f>
        <v>-0.88495481199999992</v>
      </c>
    </row>
    <row r="2528" spans="1:6" x14ac:dyDescent="0.4">
      <c r="A2528" s="4">
        <v>2210.3605499999999</v>
      </c>
      <c r="B2528" s="4">
        <v>1.2509536999999999</v>
      </c>
      <c r="C2528" s="4">
        <v>1.2956616000000001</v>
      </c>
      <c r="D2528" s="4">
        <v>-30.283390999999998</v>
      </c>
      <c r="E2528" s="4">
        <f>(((((((((-31.5165996/(10/9))+-10.5)+-0.4)*0.98)*1.11)*0.85)-6.5)+3.2)+-0.3)+0.3</f>
        <v>-39.605541139333198</v>
      </c>
      <c r="F2528" s="4">
        <f>((-1.1246091*(1.3/1.5))*0.6)-0.3</f>
        <v>-0.88479673200000009</v>
      </c>
    </row>
    <row r="2529" spans="1:6" x14ac:dyDescent="0.4">
      <c r="A2529" s="4">
        <v>2211.235475</v>
      </c>
      <c r="B2529" s="4">
        <v>1.2515174</v>
      </c>
      <c r="C2529" s="4">
        <v>1.2962077999999999</v>
      </c>
      <c r="D2529" s="4">
        <v>-30.285072</v>
      </c>
      <c r="E2529" s="4">
        <f>(((((((((-31.5174069/(10/9))+-10.5)+-0.4)*0.98)*1.11)*0.85)-6.5)+3.2)+-0.3)+0.3</f>
        <v>-39.60621294775229</v>
      </c>
      <c r="F2529" s="4">
        <f>((-1.1242676*(1.3/1.5))*0.6)-0.3</f>
        <v>-0.88461915199999996</v>
      </c>
    </row>
    <row r="2530" spans="1:6" x14ac:dyDescent="0.4">
      <c r="A2530" s="4">
        <v>2212.1104</v>
      </c>
      <c r="B2530" s="4">
        <v>1.2515514999999999</v>
      </c>
      <c r="C2530" s="4">
        <v>1.2960248999999999</v>
      </c>
      <c r="D2530" s="4">
        <v>-30.286860999999998</v>
      </c>
      <c r="E2530" s="4">
        <f>(((((((((-31.5237816/(10/9))+-10.5)+-0.4)*0.98)*1.11)*0.85)-6.5)+3.2)+-0.3)+0.3</f>
        <v>-39.611517762727189</v>
      </c>
      <c r="F2530" s="4">
        <f>((-1.1238108*(1.3/1.5))*0.6)-0.3</f>
        <v>-0.88438161599999998</v>
      </c>
    </row>
    <row r="2531" spans="1:6" x14ac:dyDescent="0.4">
      <c r="A2531" s="4">
        <v>2212.9853250000001</v>
      </c>
      <c r="B2531" s="4">
        <v>1.2516122000000001</v>
      </c>
      <c r="C2531" s="4">
        <v>1.2963773000000001</v>
      </c>
      <c r="D2531" s="4">
        <v>-30.289272999999998</v>
      </c>
      <c r="E2531" s="4">
        <f>(((((((((-31.5157383/(10/9))+-10.5)+-0.4)*0.98)*1.11)*0.85)-6.5)+3.2)+-0.3)+0.3</f>
        <v>-39.604824393896095</v>
      </c>
      <c r="F2531" s="4">
        <f>((-1.1233926*(1.3/1.5))*0.6)-0.3</f>
        <v>-0.88416415200000009</v>
      </c>
    </row>
    <row r="2532" spans="1:6" x14ac:dyDescent="0.4">
      <c r="A2532" s="4">
        <v>2213.8602500000002</v>
      </c>
      <c r="B2532" s="4">
        <v>1.2521310000000001</v>
      </c>
      <c r="C2532" s="4">
        <v>1.2968618999999999</v>
      </c>
      <c r="D2532" s="4">
        <v>-30.291508999999998</v>
      </c>
      <c r="E2532" s="4">
        <f>(((((((((-31.5020844/(10/9))+-10.5)+-0.4)*0.98)*1.11)*0.85)-6.5)+3.2)+-0.3)+0.3</f>
        <v>-39.593462068894802</v>
      </c>
      <c r="F2532" s="4">
        <f>((-1.123014*(1.3/1.5))*0.6)-0.3</f>
        <v>-0.88396728000000002</v>
      </c>
    </row>
    <row r="2533" spans="1:6" x14ac:dyDescent="0.4">
      <c r="A2533" s="4">
        <v>2214.7351749999998</v>
      </c>
      <c r="B2533" s="4">
        <v>1.2524993</v>
      </c>
      <c r="C2533" s="4">
        <v>1.2971412</v>
      </c>
      <c r="D2533" s="4">
        <v>-30.293848999999998</v>
      </c>
      <c r="E2533" s="4">
        <f>(((((((((-31.4870976/(10/9))+-10.5)+-0.4)*0.98)*1.11)*0.85)-6.5)+3.2)+-0.3)+0.3</f>
        <v>-39.580990548499194</v>
      </c>
      <c r="F2533" s="4">
        <f>((-1.1225697*(1.3/1.5))*0.6)-0.3</f>
        <v>-0.88373624399999984</v>
      </c>
    </row>
    <row r="2534" spans="1:6" x14ac:dyDescent="0.4">
      <c r="A2534" s="4">
        <v>2215.6100999999999</v>
      </c>
      <c r="B2534" s="4">
        <v>1.2527900999999999</v>
      </c>
      <c r="C2534" s="4">
        <v>1.2972246000000001</v>
      </c>
      <c r="D2534" s="4">
        <v>-30.296243</v>
      </c>
      <c r="E2534" s="4">
        <f>(((((((((-31.5180522/(10/9))+-10.5)+-0.4)*0.98)*1.11)*0.85)-6.5)+3.2)+-0.3)+0.3</f>
        <v>-39.606749945117393</v>
      </c>
      <c r="F2534" s="4">
        <f>((-1.1219951*(1.3/1.5))*0.6)-0.3</f>
        <v>-0.8834374519999999</v>
      </c>
    </row>
    <row r="2535" spans="1:6" x14ac:dyDescent="0.4">
      <c r="A2535" s="4">
        <v>2216.485025</v>
      </c>
      <c r="B2535" s="4">
        <v>1.2527845</v>
      </c>
      <c r="C2535" s="4">
        <v>1.2973018999999999</v>
      </c>
      <c r="D2535" s="4">
        <v>-30.298746999999999</v>
      </c>
      <c r="E2535" s="4">
        <f>(((((((((-31.5093249/(10/9))+-10.5)+-0.4)*0.98)*1.11)*0.85)-6.5)+3.2)+-0.3)+0.3</f>
        <v>-39.599487374058285</v>
      </c>
      <c r="F2535" s="4">
        <f>((-1.1213323*(1.3/1.5))*0.6)-0.3</f>
        <v>-0.8830927959999999</v>
      </c>
    </row>
    <row r="2536" spans="1:6" x14ac:dyDescent="0.4">
      <c r="A2536" s="4">
        <v>2217.35995</v>
      </c>
      <c r="B2536" s="4">
        <v>1.2533053999999999</v>
      </c>
      <c r="C2536" s="4">
        <v>1.2977793</v>
      </c>
      <c r="D2536" s="4">
        <v>-30.301283999999999</v>
      </c>
      <c r="E2536" s="4">
        <f>(((((((((-31.5204651/(10/9))+-10.5)+-0.4)*0.98)*1.11)*0.85)-6.5)+3.2)+-0.3)+0.3</f>
        <v>-39.6087578808717</v>
      </c>
      <c r="F2536" s="4">
        <f>((-1.1206428*(1.3/1.5))*0.6)-0.3</f>
        <v>-0.88273425599999999</v>
      </c>
    </row>
    <row r="2537" spans="1:6" x14ac:dyDescent="0.4">
      <c r="A2537" s="4">
        <v>2218.2348750000001</v>
      </c>
      <c r="B2537" s="4">
        <v>1.2535529999999999</v>
      </c>
      <c r="C2537" s="4">
        <v>1.2982397000000001</v>
      </c>
      <c r="D2537" s="4">
        <v>-30.303902999999998</v>
      </c>
      <c r="E2537" s="4">
        <f>(((((((((-31.496481/(10/9))+-10.5)+-0.4)*0.98)*1.11)*0.85)-6.5)+3.2)+-0.3)+0.3</f>
        <v>-39.588799104326995</v>
      </c>
      <c r="F2537" s="4">
        <f>((-1.1200278*(1.3/1.5))*0.6)-0.3</f>
        <v>-0.88241445600000001</v>
      </c>
    </row>
    <row r="2538" spans="1:6" x14ac:dyDescent="0.4">
      <c r="A2538" s="4">
        <v>2219.1097999999997</v>
      </c>
      <c r="B2538" s="4">
        <v>1.2537552000000001</v>
      </c>
      <c r="C2538" s="4">
        <v>1.2983340999999999</v>
      </c>
      <c r="D2538" s="4">
        <v>-30.306643999999999</v>
      </c>
      <c r="E2538" s="4">
        <f>(((((((((-31.5102411/(10/9))+-10.5)+-0.4)*0.98)*1.11)*0.85)-6.5)+3.2)+-0.3)+0.3</f>
        <v>-39.600249805463697</v>
      </c>
      <c r="F2538" s="4">
        <f>((-1.1194109*(1.3/1.5))*0.6)-0.3</f>
        <v>-0.882093668</v>
      </c>
    </row>
    <row r="2539" spans="1:6" x14ac:dyDescent="0.4">
      <c r="A2539" s="4">
        <v>2219.9847250000003</v>
      </c>
      <c r="B2539" s="4">
        <v>1.2540016</v>
      </c>
      <c r="C2539" s="4">
        <v>1.2985838999999999</v>
      </c>
      <c r="D2539" s="4">
        <v>-30.30911</v>
      </c>
      <c r="E2539" s="4">
        <f>(((((((((-31.5035298/(10/9))+-10.5)+-0.4)*0.98)*1.11)*0.85)-6.5)+3.2)+-0.3)+0.3</f>
        <v>-39.594664883076597</v>
      </c>
      <c r="F2539" s="4">
        <f>((-1.1187633*(1.3/1.5))*0.6)-0.3</f>
        <v>-0.88175691599999984</v>
      </c>
    </row>
    <row r="2540" spans="1:6" x14ac:dyDescent="0.4">
      <c r="A2540" s="4">
        <v>2220.8596499999999</v>
      </c>
      <c r="B2540" s="4">
        <v>1.2541286</v>
      </c>
      <c r="C2540" s="4">
        <v>1.298605</v>
      </c>
      <c r="D2540" s="4">
        <v>-30.311907999999999</v>
      </c>
      <c r="E2540" s="4">
        <f>(((((((((-31.4945856/(10/9))+-10.5)+-0.4)*0.98)*1.11)*0.85)-6.5)+3.2)+-0.3)+0.3</f>
        <v>-39.587221814995196</v>
      </c>
      <c r="F2540" s="4">
        <f>((-1.1181294*(1.3/1.5))*0.6)-0.3</f>
        <v>-0.88142728800000003</v>
      </c>
    </row>
    <row r="2541" spans="1:6" x14ac:dyDescent="0.4">
      <c r="A2541" s="4">
        <v>2221.7345750000004</v>
      </c>
      <c r="B2541" s="4">
        <v>1.254378</v>
      </c>
      <c r="C2541" s="4">
        <v>1.2988983000000001</v>
      </c>
      <c r="D2541" s="4">
        <v>-30.314882999999998</v>
      </c>
      <c r="E2541" s="4">
        <f>(((((((((-31.518711/(10/9))+-10.5)+-0.4)*0.98)*1.11)*0.85)-6.5)+3.2)+-0.3)+0.3</f>
        <v>-39.607298176736997</v>
      </c>
      <c r="F2541" s="4">
        <f>((-1.1175054*(1.3/1.5))*0.6)-0.3</f>
        <v>-0.88110280800000007</v>
      </c>
    </row>
    <row r="2542" spans="1:6" x14ac:dyDescent="0.4">
      <c r="A2542" s="4">
        <v>2222.6095</v>
      </c>
      <c r="B2542" s="4">
        <v>1.2546474000000001</v>
      </c>
      <c r="C2542" s="4">
        <v>1.2990440999999999</v>
      </c>
      <c r="D2542" s="4">
        <v>-30.317626000000001</v>
      </c>
      <c r="E2542" s="4">
        <f>(((((((((-31.5059427/(10/9))+-10.5)+-0.4)*0.98)*1.11)*0.85)-6.5)+3.2)+-0.3)+0.3</f>
        <v>-39.596672818830896</v>
      </c>
      <c r="F2542" s="4">
        <f>((-1.1168696*(1.3/1.5))*0.6)-0.3</f>
        <v>-0.88077219200000001</v>
      </c>
    </row>
    <row r="2543" spans="1:6" x14ac:dyDescent="0.4">
      <c r="A2543" s="4">
        <v>2223.4844249999996</v>
      </c>
      <c r="B2543" s="4">
        <v>1.2546326000000001</v>
      </c>
      <c r="C2543" s="4">
        <v>1.2990763999999999</v>
      </c>
      <c r="D2543" s="4">
        <v>-30.320836</v>
      </c>
      <c r="E2543" s="4">
        <f>(((((((((-31.5257832/(10/9))+-10.5)+-0.4)*0.98)*1.11)*0.85)-6.5)+3.2)+-0.3)+0.3</f>
        <v>-39.613183428194404</v>
      </c>
      <c r="F2543" s="4">
        <f>((-1.1162747*(1.3/1.5))*0.6)-0.3</f>
        <v>-0.88046284399999997</v>
      </c>
    </row>
    <row r="2544" spans="1:6" x14ac:dyDescent="0.4">
      <c r="A2544" s="4">
        <v>2224.3593500000002</v>
      </c>
      <c r="B2544" s="4">
        <v>1.2550471999999999</v>
      </c>
      <c r="C2544" s="4">
        <v>1.2993827</v>
      </c>
      <c r="D2544" s="4">
        <v>-30.323654999999999</v>
      </c>
      <c r="E2544" s="4">
        <f>(((((((((-31.4940402/(10/9))+-10.5)+-0.4)*0.98)*1.11)*0.85)-6.5)+3.2)+-0.3)+0.3</f>
        <v>-39.586767951113387</v>
      </c>
      <c r="F2544" s="4">
        <f>((-1.1157521*(1.3/1.5))*0.6)-0.3</f>
        <v>-0.88019109200000001</v>
      </c>
    </row>
    <row r="2545" spans="1:6" x14ac:dyDescent="0.4">
      <c r="A2545" s="4">
        <v>2225.2342749999998</v>
      </c>
      <c r="B2545" s="4">
        <v>1.2554071</v>
      </c>
      <c r="C2545" s="4">
        <v>1.2998594999999999</v>
      </c>
      <c r="D2545" s="4">
        <v>-30.326726000000001</v>
      </c>
      <c r="E2545" s="4">
        <f>(((((((((-31.4705187/(10/9))+-10.5)+-0.4)*0.98)*1.11)*0.85)-6.5)+3.2)+-0.3)+0.3</f>
        <v>-39.567194135022902</v>
      </c>
      <c r="F2545" s="4">
        <f>((-1.115117*(1.3/1.5))*0.6)-0.3</f>
        <v>-0.87986083999999987</v>
      </c>
    </row>
    <row r="2546" spans="1:6" x14ac:dyDescent="0.4">
      <c r="A2546" s="4">
        <v>2226.1092000000003</v>
      </c>
      <c r="B2546" s="4">
        <v>1.2553772000000001</v>
      </c>
      <c r="C2546" s="4">
        <v>1.3001045</v>
      </c>
      <c r="D2546" s="4">
        <v>-30.329985999999998</v>
      </c>
      <c r="E2546" s="4">
        <f>(((((((((-31.5270639/(10/9))+-10.5)+-0.4)*0.98)*1.11)*0.85)-6.5)+3.2)+-0.3)+0.3</f>
        <v>-39.614249184471291</v>
      </c>
      <c r="F2546" s="4">
        <f>((-1.1144862*(1.3/1.5))*0.6)-0.3</f>
        <v>-0.87953282399999999</v>
      </c>
    </row>
    <row r="2547" spans="1:6" x14ac:dyDescent="0.4">
      <c r="A2547" s="4">
        <v>2226.9841249999999</v>
      </c>
      <c r="B2547" s="4">
        <v>1.2558134999999999</v>
      </c>
      <c r="C2547" s="4">
        <v>1.3001982000000001</v>
      </c>
      <c r="D2547" s="4">
        <v>-30.333214999999999</v>
      </c>
      <c r="E2547" s="4">
        <f>(((((((((-31.4563806/(10/9))+-10.5)+-0.4)*0.98)*1.11)*0.85)-6.5)+3.2)+-0.3)+0.3</f>
        <v>-39.555428874760203</v>
      </c>
      <c r="F2547" s="4">
        <f>((-1.1137751*(1.3/1.5))*0.6)-0.3</f>
        <v>-0.879163052</v>
      </c>
    </row>
    <row r="2548" spans="1:6" x14ac:dyDescent="0.4">
      <c r="A2548" s="4">
        <v>2227.85905</v>
      </c>
      <c r="B2548" s="4">
        <v>1.2559197</v>
      </c>
      <c r="C2548" s="4">
        <v>1.3004245999999999</v>
      </c>
      <c r="D2548" s="4">
        <v>-30.337049</v>
      </c>
      <c r="E2548" s="4">
        <f>(((((((((-31.5129843/(10/9))+-10.5)+-0.4)*0.98)*1.11)*0.85)-6.5)+3.2)+-0.3)+0.3</f>
        <v>-39.602532605978098</v>
      </c>
      <c r="F2548" s="4">
        <f>((-1.1131687*(1.3/1.5))*0.6)-0.3</f>
        <v>-0.87884772399999989</v>
      </c>
    </row>
    <row r="2549" spans="1:6" x14ac:dyDescent="0.4">
      <c r="A2549" s="4">
        <v>2228.7339750000001</v>
      </c>
      <c r="B2549" s="4">
        <v>1.256084</v>
      </c>
      <c r="C2549" s="4">
        <v>1.3007177000000001</v>
      </c>
      <c r="D2549" s="4">
        <v>-30.340785</v>
      </c>
      <c r="E2549" s="4">
        <f>(((((((((-31.520682/(10/9))+-10.5)+-0.4)*0.98)*1.11)*0.85)-6.5)+3.2)+-0.3)+0.3</f>
        <v>-39.608938377893992</v>
      </c>
      <c r="F2549" s="4">
        <f>((-1.1125309*(1.3/1.5))*0.6)-0.3</f>
        <v>-0.87851606799999993</v>
      </c>
    </row>
    <row r="2550" spans="1:6" x14ac:dyDescent="0.4">
      <c r="A2550" s="4">
        <v>2229.6088999999997</v>
      </c>
      <c r="B2550" s="4">
        <v>1.2564888999999999</v>
      </c>
      <c r="C2550" s="4">
        <v>1.3004924</v>
      </c>
      <c r="D2550" s="4">
        <v>-30.344144</v>
      </c>
      <c r="E2550" s="4">
        <f>(((((((((-31.4951184/(10/9))+-10.5)+-0.4)*0.98)*1.11)*0.85)-6.5)+3.2)+-0.3)+0.3</f>
        <v>-39.587665193572789</v>
      </c>
      <c r="F2550" s="4">
        <f>((-1.1118004*(1.3/1.5))*0.6)-0.3</f>
        <v>-0.87813620799999992</v>
      </c>
    </row>
    <row r="2551" spans="1:6" x14ac:dyDescent="0.4">
      <c r="A2551" s="4">
        <v>2230.4838250000003</v>
      </c>
      <c r="B2551" s="4">
        <v>1.2566638000000001</v>
      </c>
      <c r="C2551" s="4">
        <v>1.3009564</v>
      </c>
      <c r="D2551" s="4">
        <v>-30.348271999999998</v>
      </c>
      <c r="E2551" s="4">
        <f>(((((((((-31.4878428/(10/9))+-10.5)+-0.4)*0.98)*1.11)*0.85)-6.5)+3.2)+-0.3)+0.3</f>
        <v>-39.581610679347591</v>
      </c>
      <c r="F2551" s="4">
        <f>((-1.1111884*(1.3/1.5))*0.6)-0.3</f>
        <v>-0.877817968</v>
      </c>
    </row>
    <row r="2552" spans="1:6" x14ac:dyDescent="0.4">
      <c r="A2552" s="4">
        <v>2231.3587499999999</v>
      </c>
      <c r="B2552" s="4">
        <v>1.2568604999999999</v>
      </c>
      <c r="C2552" s="4">
        <v>1.3013557</v>
      </c>
      <c r="D2552" s="4">
        <v>-30.351700999999998</v>
      </c>
      <c r="E2552" s="4">
        <f>(((((((((-31.4956944/(10/9))+-10.5)+-0.4)*0.98)*1.11)*0.85)-6.5)+3.2)+-0.3)+0.3</f>
        <v>-39.588144521764796</v>
      </c>
      <c r="F2552" s="4">
        <f>((-1.1106216*(1.3/1.5))*0.6)-0.3</f>
        <v>-0.87752323199999993</v>
      </c>
    </row>
    <row r="2553" spans="1:6" x14ac:dyDescent="0.4">
      <c r="A2553" s="4">
        <v>2232.2336749999999</v>
      </c>
      <c r="B2553" s="4">
        <v>1.2572213000000001</v>
      </c>
      <c r="C2553" s="4">
        <v>1.3015413</v>
      </c>
      <c r="D2553" s="4">
        <v>-30.355612999999998</v>
      </c>
      <c r="E2553" s="4">
        <f>(((((((((-31.4588394/(10/9))+-10.5)+-0.4)*0.98)*1.11)*0.85)-6.5)+3.2)+-0.3)+0.3</f>
        <v>-39.557475006979793</v>
      </c>
      <c r="F2553" s="4">
        <f>((-1.1101153*(1.3/1.5))*0.6)-0.3</f>
        <v>-0.87725995600000006</v>
      </c>
    </row>
    <row r="2554" spans="1:6" x14ac:dyDescent="0.4">
      <c r="A2554" s="4">
        <v>2233.1086</v>
      </c>
      <c r="B2554" s="4">
        <v>1.2573236000000001</v>
      </c>
      <c r="C2554" s="4">
        <v>1.3018202999999999</v>
      </c>
      <c r="D2554" s="4">
        <v>-30.359376000000001</v>
      </c>
      <c r="E2554" s="4">
        <f>(((((((((-31.4522748/(10/9))+-10.5)+-0.4)*0.98)*1.11)*0.85)-6.5)+3.2)+-0.3)+0.3</f>
        <v>-39.55201216349159</v>
      </c>
      <c r="F2554" s="4">
        <f>((-1.1096423*(1.3/1.5))*0.6)-0.3</f>
        <v>-0.87701399600000007</v>
      </c>
    </row>
    <row r="2555" spans="1:6" x14ac:dyDescent="0.4">
      <c r="A2555" s="4">
        <v>2233.9835250000001</v>
      </c>
      <c r="B2555" s="4">
        <v>1.2576004000000001</v>
      </c>
      <c r="C2555" s="4">
        <v>1.3018448</v>
      </c>
      <c r="D2555" s="4">
        <v>-30.363527999999999</v>
      </c>
      <c r="E2555" s="4">
        <f>(((((((((-31.4659152/(10/9))+-10.5)+-0.4)*0.98)*1.11)*0.85)-6.5)+3.2)+-0.3)+0.3</f>
        <v>-39.563363254238396</v>
      </c>
      <c r="F2555" s="4">
        <f>((-1.1091714*(1.3/1.5))*0.6)-0.3</f>
        <v>-0.87676912799999984</v>
      </c>
    </row>
    <row r="2556" spans="1:6" x14ac:dyDescent="0.4">
      <c r="A2556" s="4">
        <v>2234.8584500000002</v>
      </c>
      <c r="B2556" s="4">
        <v>1.2577693000000001</v>
      </c>
      <c r="C2556" s="4">
        <v>1.3020706</v>
      </c>
      <c r="D2556" s="4">
        <v>-30.367668999999999</v>
      </c>
      <c r="E2556" s="4">
        <f>(((((((((-31.4616645/(10/9))+-10.5)+-0.4)*0.98)*1.11)*0.85)-6.5)+3.2)+-0.3)+0.3</f>
        <v>-39.559825961971505</v>
      </c>
      <c r="F2556" s="4">
        <f>((-1.1087152*(1.3/1.5))*0.6)-0.3</f>
        <v>-0.87653190399999992</v>
      </c>
    </row>
    <row r="2557" spans="1:6" x14ac:dyDescent="0.4">
      <c r="A2557" s="4">
        <v>2235.7333749999998</v>
      </c>
      <c r="B2557" s="4">
        <v>1.2580340999999999</v>
      </c>
      <c r="C2557" s="4">
        <v>1.3022311</v>
      </c>
      <c r="D2557" s="4">
        <v>-30.371827</v>
      </c>
      <c r="E2557" s="4">
        <f>(((((((((-31.4766405/(10/9))+-10.5)+-0.4)*0.98)*1.11)*0.85)-6.5)+3.2)+-0.3)+0.3</f>
        <v>-39.572288494963495</v>
      </c>
      <c r="F2557" s="4">
        <f>((-1.1083127*(1.3/1.5))*0.6)-0.3</f>
        <v>-0.87632260399999984</v>
      </c>
    </row>
    <row r="2558" spans="1:6" x14ac:dyDescent="0.4">
      <c r="A2558" s="4">
        <v>2236.6082999999999</v>
      </c>
      <c r="B2558" s="4">
        <v>1.2582789999999999</v>
      </c>
      <c r="C2558" s="4">
        <v>1.3026301</v>
      </c>
      <c r="D2558" s="4">
        <v>-30.375712999999998</v>
      </c>
      <c r="E2558" s="4">
        <f>(((((((((-31.4553096/(10/9))+-10.5)+-0.4)*0.98)*1.11)*0.85)-6.5)+3.2)+-0.3)+0.3</f>
        <v>-39.554537623903194</v>
      </c>
      <c r="F2558" s="4">
        <f>((-1.1079199*(1.3/1.5))*0.6)-0.3</f>
        <v>-0.87611834799999988</v>
      </c>
    </row>
    <row r="2559" spans="1:6" x14ac:dyDescent="0.4">
      <c r="A2559" s="4">
        <v>2237.4832249999999</v>
      </c>
      <c r="B2559" s="4">
        <v>1.2584907999999999</v>
      </c>
      <c r="C2559" s="4">
        <v>1.3026310000000001</v>
      </c>
      <c r="D2559" s="4">
        <v>-30.379864999999999</v>
      </c>
      <c r="E2559" s="4">
        <f>(((((((((-31.4444259/(10/9))+-10.5)+-0.4)*0.98)*1.11)*0.85)-6.5)+3.2)+-0.3)+0.3</f>
        <v>-39.545480567925303</v>
      </c>
      <c r="F2559" s="4">
        <f>((-1.1075649*(1.3/1.5))*0.6)-0.3</f>
        <v>-0.87593374800000001</v>
      </c>
    </row>
    <row r="2560" spans="1:6" x14ac:dyDescent="0.4">
      <c r="A2560" s="4">
        <v>2238.35815</v>
      </c>
      <c r="B2560" s="4">
        <v>1.2587088</v>
      </c>
      <c r="C2560" s="4">
        <v>1.3029625</v>
      </c>
      <c r="D2560" s="4">
        <v>-30.384031</v>
      </c>
      <c r="E2560" s="4">
        <f>(((((((((-31.4808354/(10/9))+-10.5)+-0.4)*0.98)*1.11)*0.85)-6.5)+3.2)+-0.3)+0.3</f>
        <v>-39.575779352311798</v>
      </c>
      <c r="F2560" s="4">
        <f>((-1.1072881*(1.3/1.5))*0.6)-0.3</f>
        <v>-0.87578981200000006</v>
      </c>
    </row>
    <row r="2561" spans="1:6" x14ac:dyDescent="0.4">
      <c r="A2561" s="4">
        <v>2239.2330750000001</v>
      </c>
      <c r="B2561" s="4">
        <v>1.2590361999999999</v>
      </c>
      <c r="C2561" s="4">
        <v>1.3032922</v>
      </c>
      <c r="D2561" s="4">
        <v>-30.388563999999999</v>
      </c>
      <c r="E2561" s="4">
        <f>(((((((((-31.4550657/(10/9))+-10.5)+-0.4)*0.98)*1.11)*0.85)-6.5)+3.2)+-0.3)+0.3</f>
        <v>-39.5543346583719</v>
      </c>
      <c r="F2561" s="4">
        <f>((-1.1070489*(1.3/1.5))*0.6)-0.3</f>
        <v>-0.87566542800000002</v>
      </c>
    </row>
    <row r="2562" spans="1:6" x14ac:dyDescent="0.4">
      <c r="A2562" s="4">
        <v>2240.1080000000002</v>
      </c>
      <c r="B2562" s="4">
        <v>1.2592152000000001</v>
      </c>
      <c r="C2562" s="4">
        <v>1.3034595</v>
      </c>
      <c r="D2562" s="4">
        <v>-30.392554000000001</v>
      </c>
      <c r="E2562" s="4">
        <f>(((((((((-31.4993925/(10/9))+-10.5)+-0.4)*0.98)*1.11)*0.85)-6.5)+3.2)+-0.3)+0.3</f>
        <v>-39.5912219585475</v>
      </c>
      <c r="F2562" s="4">
        <f>((-1.1067964*(1.3/1.5))*0.6)-0.3</f>
        <v>-0.87553412799999997</v>
      </c>
    </row>
    <row r="2563" spans="1:6" x14ac:dyDescent="0.4">
      <c r="A2563" s="4">
        <v>2240.9829249999998</v>
      </c>
      <c r="B2563" s="4">
        <v>1.2593254</v>
      </c>
      <c r="C2563" s="4">
        <v>1.3031287</v>
      </c>
      <c r="D2563" s="4">
        <v>-30.396245</v>
      </c>
      <c r="E2563" s="4">
        <f>(((((((((-31.4579151/(10/9))+-10.5)+-0.4)*0.98)*1.11)*0.85)-6.5)+3.2)+-0.3)+0.3</f>
        <v>-39.556705835021702</v>
      </c>
      <c r="F2563" s="4">
        <f>((-1.1065936*(1.3/1.5))*0.6)-0.3</f>
        <v>-0.87542867199999996</v>
      </c>
    </row>
    <row r="2564" spans="1:6" x14ac:dyDescent="0.4">
      <c r="A2564" s="4">
        <v>2241.8578499999999</v>
      </c>
      <c r="B2564" s="4">
        <v>1.2591751</v>
      </c>
      <c r="C2564" s="4">
        <v>1.3035907</v>
      </c>
      <c r="D2564" s="4">
        <v>-30.399843999999998</v>
      </c>
      <c r="E2564" s="4">
        <f>(((((((((-31.4397198/(10/9))+-10.5)+-0.4)*0.98)*1.11)*0.85)-6.5)+3.2)+-0.3)+0.3</f>
        <v>-39.541564306806599</v>
      </c>
      <c r="F2564" s="4">
        <f>((-1.106426*(1.3/1.5))*0.6)-0.3</f>
        <v>-0.87534151999999987</v>
      </c>
    </row>
    <row r="2565" spans="1:6" x14ac:dyDescent="0.4">
      <c r="A2565" s="4">
        <v>2242.7327749999999</v>
      </c>
      <c r="B2565" s="4">
        <v>1.2595409</v>
      </c>
      <c r="C2565" s="4">
        <v>1.3038543</v>
      </c>
      <c r="D2565" s="4">
        <v>-30.403603999999998</v>
      </c>
      <c r="E2565" s="4">
        <f>(((((((((-31.4382537/(10/9))+-10.5)+-0.4)*0.98)*1.11)*0.85)-6.5)+3.2)+-0.3)+0.3</f>
        <v>-39.540344266767903</v>
      </c>
      <c r="F2565" s="4">
        <f>((-1.1063726*(1.3/1.5))*0.6)-0.3</f>
        <v>-0.87531375200000006</v>
      </c>
    </row>
    <row r="2566" spans="1:6" x14ac:dyDescent="0.4">
      <c r="A2566" s="4">
        <v>2243.6077</v>
      </c>
      <c r="B2566" s="4">
        <v>1.2600690999999999</v>
      </c>
      <c r="C2566" s="4">
        <v>1.3040552999999999</v>
      </c>
      <c r="D2566" s="4">
        <v>-30.407955999999999</v>
      </c>
      <c r="E2566" s="4">
        <f>(((((((((-31.4437428/(10/9))+-10.5)+-0.4)*0.98)*1.11)*0.85)-6.5)+3.2)+-0.3)+0.3</f>
        <v>-39.544912114647602</v>
      </c>
      <c r="F2566" s="4">
        <f>((-1.1063638*(1.3/1.5))*0.6)-0.3</f>
        <v>-0.87530917600000002</v>
      </c>
    </row>
    <row r="2567" spans="1:6" x14ac:dyDescent="0.4">
      <c r="A2567" s="4">
        <v>2244.4826250000001</v>
      </c>
      <c r="B2567" s="4">
        <v>1.2601198</v>
      </c>
      <c r="C2567" s="4">
        <v>1.3043783</v>
      </c>
      <c r="D2567" s="4">
        <v>-30.412264999999998</v>
      </c>
      <c r="E2567" s="4">
        <f>(((((((((-31.4266968/(10/9))+-10.5)+-0.4)*0.98)*1.11)*0.85)-6.5)+3.2)+-0.3)+0.3</f>
        <v>-39.530726995965601</v>
      </c>
      <c r="F2567" s="4">
        <f>((-1.1064326*(1.3/1.5))*0.6)-0.3</f>
        <v>-0.87534495200000006</v>
      </c>
    </row>
    <row r="2568" spans="1:6" x14ac:dyDescent="0.4">
      <c r="A2568" s="4">
        <v>2245.3575499999997</v>
      </c>
      <c r="B2568" s="4">
        <v>1.2605063000000001</v>
      </c>
      <c r="C2568" s="4">
        <v>1.3047135999999999</v>
      </c>
      <c r="D2568" s="4">
        <v>-30.416226999999999</v>
      </c>
      <c r="E2568" s="4">
        <f>(((((((((-31.4267283/(10/9))+-10.5)+-0.4)*0.98)*1.11)*0.85)-6.5)+3.2)+-0.3)+0.3</f>
        <v>-39.530753209226098</v>
      </c>
      <c r="F2568" s="4">
        <f>((-1.1064488*(1.3/1.5))*0.6)-0.3</f>
        <v>-0.87535337599999985</v>
      </c>
    </row>
    <row r="2569" spans="1:6" x14ac:dyDescent="0.4">
      <c r="A2569" s="4">
        <v>2246.2324750000002</v>
      </c>
      <c r="B2569" s="4">
        <v>1.2605355</v>
      </c>
      <c r="C2569" s="4">
        <v>1.3047869999999999</v>
      </c>
      <c r="D2569" s="4">
        <v>-30.42014</v>
      </c>
      <c r="E2569" s="4">
        <f>(((((((((-31.4325477/(10/9))+-10.5)+-0.4)*0.98)*1.11)*0.85)-6.5)+3.2)+-0.3)+0.3</f>
        <v>-39.535595921865898</v>
      </c>
      <c r="F2569" s="4">
        <f>((-1.1065475*(1.3/1.5))*0.6)-0.3</f>
        <v>-0.87540470000000004</v>
      </c>
    </row>
    <row r="2570" spans="1:6" x14ac:dyDescent="0.4">
      <c r="A2570" s="4">
        <v>2247.1073999999999</v>
      </c>
      <c r="B2570" s="4">
        <v>1.2607956</v>
      </c>
      <c r="C2570" s="4">
        <v>1.3051656</v>
      </c>
      <c r="D2570" s="4">
        <v>-30.424052</v>
      </c>
      <c r="E2570" s="4">
        <f>(((((((((-31.4139222/(10/9))+-10.5)+-0.4)*0.98)*1.11)*0.85)-6.5)+3.2)+-0.3)+0.3</f>
        <v>-39.520096395407393</v>
      </c>
      <c r="F2570" s="4">
        <f>((-1.1067495*(1.3/1.5))*0.6)-0.3</f>
        <v>-0.87550974000000004</v>
      </c>
    </row>
    <row r="2571" spans="1:6" x14ac:dyDescent="0.4">
      <c r="A2571" s="4">
        <v>2247.9823250000004</v>
      </c>
      <c r="B2571" s="4">
        <v>1.2608026000000001</v>
      </c>
      <c r="C2571" s="4">
        <v>1.3049648</v>
      </c>
      <c r="D2571" s="4">
        <v>-30.427985</v>
      </c>
      <c r="E2571" s="4">
        <f>(((((((((-31.4108289/(10/9))+-10.5)+-0.4)*0.98)*1.11)*0.85)-6.5)+3.2)+-0.3)+0.3</f>
        <v>-39.517522253226296</v>
      </c>
      <c r="F2571" s="4">
        <f>((-1.1069884*(1.3/1.5))*0.6)-0.3</f>
        <v>-0.87563396800000004</v>
      </c>
    </row>
    <row r="2572" spans="1:6" x14ac:dyDescent="0.4">
      <c r="A2572" s="4">
        <v>2248.85725</v>
      </c>
      <c r="B2572" s="4">
        <v>1.2609546</v>
      </c>
      <c r="C2572" s="4">
        <v>1.3051047</v>
      </c>
      <c r="D2572" s="4">
        <v>-30.431425999999998</v>
      </c>
      <c r="E2572" s="4">
        <f>(((((((((-31.4149662/(10/9))+-10.5)+-0.4)*0.98)*1.11)*0.85)-6.5)+3.2)+-0.3)+0.3</f>
        <v>-39.520965177755393</v>
      </c>
      <c r="F2572" s="4">
        <f>((-1.1072438*(1.3/1.5))*0.6)-0.3</f>
        <v>-0.87576677600000008</v>
      </c>
    </row>
    <row r="2573" spans="1:6" x14ac:dyDescent="0.4">
      <c r="A2573" s="4">
        <v>2249.7321749999996</v>
      </c>
      <c r="B2573" s="4">
        <v>1.2614855</v>
      </c>
      <c r="C2573" s="4">
        <v>1.3058658000000001</v>
      </c>
      <c r="D2573" s="4">
        <v>-30.435043999999998</v>
      </c>
      <c r="E2573" s="4">
        <f>(((((((((-31.4228448/(10/9))+-10.5)+-0.4)*0.98)*1.11)*0.85)-6.5)+3.2)+-0.3)+0.3</f>
        <v>-39.527521488681593</v>
      </c>
      <c r="F2573" s="4">
        <f>((-1.1075873*(1.3/1.5))*0.6)-0.3</f>
        <v>-0.8759453960000001</v>
      </c>
    </row>
    <row r="2574" spans="1:6" x14ac:dyDescent="0.4">
      <c r="A2574" s="4">
        <v>2250.6071000000002</v>
      </c>
      <c r="B2574" s="4">
        <v>1.2615472999999999</v>
      </c>
      <c r="C2574" s="4">
        <v>1.3058498000000001</v>
      </c>
      <c r="D2574" s="4">
        <v>-30.438482999999998</v>
      </c>
      <c r="E2574" s="4">
        <f>(((((((((-31.4148042/(10/9))+-10.5)+-0.4)*0.98)*1.11)*0.85)-6.5)+3.2)+-0.3)+0.3</f>
        <v>-39.520830366701396</v>
      </c>
      <c r="F2574" s="4">
        <f>((-1.1080532*(1.3/1.5))*0.6)-0.3</f>
        <v>-0.87618766399999992</v>
      </c>
    </row>
    <row r="2575" spans="1:6" x14ac:dyDescent="0.4">
      <c r="A2575" s="4">
        <v>2251.4820249999998</v>
      </c>
      <c r="B2575" s="4">
        <v>1.2617605000000001</v>
      </c>
      <c r="C2575" s="4">
        <v>1.3059696000000001</v>
      </c>
      <c r="D2575" s="4">
        <v>-30.441558000000001</v>
      </c>
      <c r="E2575" s="4">
        <f>(((((((((-31.4220141/(10/9))+-10.5)+-0.4)*0.98)*1.11)*0.85)-6.5)+3.2)+-0.3)+0.3</f>
        <v>-39.526830207554696</v>
      </c>
      <c r="F2575" s="4">
        <f>((-1.1085285*(1.3/1.5))*0.6)-0.3</f>
        <v>-0.87643482000000006</v>
      </c>
    </row>
    <row r="2576" spans="1:6" x14ac:dyDescent="0.4">
      <c r="A2576" s="4">
        <v>2252.3569500000003</v>
      </c>
      <c r="B2576" s="4">
        <v>1.2618977</v>
      </c>
      <c r="C2576" s="4">
        <v>1.3060883999999999</v>
      </c>
      <c r="D2576" s="4">
        <v>-30.445053999999999</v>
      </c>
      <c r="E2576" s="4">
        <f>(((((((((-31.4043606/(10/9))+-10.5)+-0.4)*0.98)*1.11)*0.85)-6.5)+3.2)+-0.3)+0.3</f>
        <v>-39.512139547420198</v>
      </c>
      <c r="F2576" s="4">
        <f>((-1.1090997*(1.3/1.5))*0.6)-0.3</f>
        <v>-0.87673184400000004</v>
      </c>
    </row>
    <row r="2577" spans="1:6" x14ac:dyDescent="0.4">
      <c r="A2577" s="4">
        <v>2253.2318749999999</v>
      </c>
      <c r="B2577" s="4">
        <v>1.2621306000000001</v>
      </c>
      <c r="C2577" s="4">
        <v>1.3061483</v>
      </c>
      <c r="D2577" s="4">
        <v>-30.448181999999999</v>
      </c>
      <c r="E2577" s="4">
        <f>(((((((((-31.3908813/(10/9))+-10.5)+-0.4)*0.98)*1.11)*0.85)-6.5)+3.2)+-0.3)+0.3</f>
        <v>-39.500922518777095</v>
      </c>
      <c r="F2577" s="4">
        <f>((-1.1097015*(1.3/1.5))*0.6)-0.3</f>
        <v>-0.87704477999999986</v>
      </c>
    </row>
    <row r="2578" spans="1:6" x14ac:dyDescent="0.4">
      <c r="A2578" s="4">
        <v>2254.1068</v>
      </c>
      <c r="B2578" s="4">
        <v>1.2622422</v>
      </c>
      <c r="C2578" s="4">
        <v>1.3063290999999999</v>
      </c>
      <c r="D2578" s="4">
        <v>-30.451691999999998</v>
      </c>
      <c r="E2578" s="4">
        <f>(((((((((-31.4061183/(10/9))+-10.5)+-0.4)*0.98)*1.11)*0.85)-6.5)+3.2)+-0.3)+0.3</f>
        <v>-39.513602247356097</v>
      </c>
      <c r="F2578" s="4">
        <f>((-1.110312*(1.3/1.5))*0.6)-0.3</f>
        <v>-0.87736223999999985</v>
      </c>
    </row>
    <row r="2579" spans="1:6" x14ac:dyDescent="0.4">
      <c r="A2579" s="4">
        <v>2254.9817250000001</v>
      </c>
      <c r="B2579" s="4">
        <v>1.2624738</v>
      </c>
      <c r="C2579" s="4">
        <v>1.3065591999999999</v>
      </c>
      <c r="D2579" s="4">
        <v>-30.454749</v>
      </c>
      <c r="E2579" s="4">
        <f>(((((((((-31.3747866/(10/9))+-10.5)+-0.4)*0.98)*1.11)*0.85)-6.5)+3.2)+-0.3)+0.3</f>
        <v>-39.487529040562187</v>
      </c>
      <c r="F2579" s="4">
        <f>((-1.1109887*(1.3/1.5))*0.6)-0.3</f>
        <v>-0.87771412399999993</v>
      </c>
    </row>
    <row r="2580" spans="1:6" x14ac:dyDescent="0.4">
      <c r="A2580" s="4">
        <v>2255.8566499999997</v>
      </c>
      <c r="B2580" s="4">
        <v>1.2625797999999999</v>
      </c>
      <c r="C2580" s="4">
        <v>1.3068409000000001</v>
      </c>
      <c r="D2580" s="4">
        <v>-30.458138999999999</v>
      </c>
      <c r="E2580" s="4">
        <f>(((((((((-31.3614693/(10/9))+-10.5)+-0.4)*0.98)*1.11)*0.85)-6.5)+3.2)+-0.3)+0.3</f>
        <v>-39.476446822973095</v>
      </c>
      <c r="F2580" s="4">
        <f>((-1.1117072*(1.3/1.5))*0.6)-0.3</f>
        <v>-0.87808774399999989</v>
      </c>
    </row>
    <row r="2581" spans="1:6" x14ac:dyDescent="0.4">
      <c r="A2581" s="4">
        <v>2256.7315750000002</v>
      </c>
      <c r="B2581" s="4">
        <v>1.2628033000000001</v>
      </c>
      <c r="C2581" s="4">
        <v>1.3067933</v>
      </c>
      <c r="D2581" s="4">
        <v>-30.460971000000001</v>
      </c>
      <c r="E2581" s="4">
        <f>(((((((((-31.3787862/(10/9))+-10.5)+-0.4)*0.98)*1.11)*0.85)-6.5)+3.2)+-0.3)+0.3</f>
        <v>-39.490857375695398</v>
      </c>
      <c r="F2581" s="4">
        <f>((-1.112494*(1.3/1.5))*0.6)-0.3</f>
        <v>-0.87849688000000015</v>
      </c>
    </row>
    <row r="2582" spans="1:6" x14ac:dyDescent="0.4">
      <c r="A2582" s="4">
        <v>2257.6064999999999</v>
      </c>
      <c r="B2582" s="4">
        <v>1.2632245</v>
      </c>
      <c r="C2582" s="4">
        <v>1.3073935999999999</v>
      </c>
      <c r="D2582" s="4">
        <v>-30.464085999999998</v>
      </c>
      <c r="E2582" s="4">
        <f>(((((((((-31.3930134/(10/9))+-10.5)+-0.4)*0.98)*1.11)*0.85)-6.5)+3.2)+-0.3)+0.3</f>
        <v>-39.502696782037802</v>
      </c>
      <c r="F2582" s="4">
        <f>((-1.1132751*(1.3/1.5))*0.6)-0.3</f>
        <v>-0.87890305200000007</v>
      </c>
    </row>
    <row r="2583" spans="1:6" x14ac:dyDescent="0.4">
      <c r="A2583" s="4">
        <v>2258.4814249999999</v>
      </c>
      <c r="B2583" s="4">
        <v>1.2633189</v>
      </c>
      <c r="C2583" s="4">
        <v>1.3074882000000001</v>
      </c>
      <c r="D2583" s="4">
        <v>-30.466684999999998</v>
      </c>
      <c r="E2583" s="4">
        <f>(((((((((-31.3742061/(10/9))+-10.5)+-0.4)*0.98)*1.11)*0.85)-6.5)+3.2)+-0.3)+0.3</f>
        <v>-39.487045967618698</v>
      </c>
      <c r="F2583" s="4">
        <f>((-1.1141393*(1.3/1.5))*0.6)-0.3</f>
        <v>-0.87935243600000002</v>
      </c>
    </row>
    <row r="2584" spans="1:6" x14ac:dyDescent="0.4">
      <c r="A2584" s="4">
        <v>2259.35635</v>
      </c>
      <c r="B2584" s="4">
        <v>1.2633283</v>
      </c>
      <c r="C2584" s="4">
        <v>1.3074113000000001</v>
      </c>
      <c r="D2584" s="4">
        <v>-30.469387999999999</v>
      </c>
      <c r="E2584" s="4">
        <f>(((((((((-31.3733925/(10/9))+-10.5)+-0.4)*0.98)*1.11)*0.85)-6.5)+3.2)+-0.3)+0.3</f>
        <v>-39.486368916547491</v>
      </c>
      <c r="F2584" s="4">
        <f>((-1.1149732*(1.3/1.5))*0.6)-0.3</f>
        <v>-0.87978606400000015</v>
      </c>
    </row>
    <row r="2585" spans="1:6" x14ac:dyDescent="0.4">
      <c r="A2585" s="4">
        <v>2260.2312750000001</v>
      </c>
      <c r="B2585" s="4">
        <v>1.2633245</v>
      </c>
      <c r="C2585" s="4">
        <v>1.3078334</v>
      </c>
      <c r="D2585" s="4">
        <v>-30.471978</v>
      </c>
      <c r="E2585" s="4">
        <f>(((((((((-31.3836345/(10/9))+-10.5)+-0.4)*0.98)*1.11)*0.85)-6.5)+3.2)+-0.3)+0.3</f>
        <v>-39.494891970961497</v>
      </c>
      <c r="F2585" s="4">
        <f>((-1.115916*(1.3/1.5))*0.6)-0.3</f>
        <v>-0.88027631999999989</v>
      </c>
    </row>
    <row r="2586" spans="1:6" x14ac:dyDescent="0.4">
      <c r="A2586" s="4">
        <v>2261.1062000000002</v>
      </c>
      <c r="B2586" s="4">
        <v>1.2638750000000001</v>
      </c>
      <c r="C2586" s="4">
        <v>1.3077451</v>
      </c>
      <c r="D2586" s="4">
        <v>-30.474329999999998</v>
      </c>
      <c r="E2586" s="4">
        <f>(((((((((-31.3426413/(10/9))+-10.5)+-0.4)*0.98)*1.11)*0.85)-6.5)+3.2)+-0.3)+0.3</f>
        <v>-39.460778782697098</v>
      </c>
      <c r="F2586" s="4">
        <f>((-1.1169157*(1.3/1.5))*0.6)-0.3</f>
        <v>-0.88079616399999994</v>
      </c>
    </row>
    <row r="2587" spans="1:6" x14ac:dyDescent="0.4">
      <c r="A2587" s="4">
        <v>2261.9811249999998</v>
      </c>
      <c r="B2587" s="4">
        <v>1.2639326</v>
      </c>
      <c r="C2587" s="4">
        <v>1.307682</v>
      </c>
      <c r="D2587" s="4">
        <v>-30.476839999999999</v>
      </c>
      <c r="E2587" s="4">
        <f>(((((((((-31.3774236/(10/9))+-10.5)+-0.4)*0.98)*1.11)*0.85)-6.5)+3.2)+-0.3)+0.3</f>
        <v>-39.489723464941193</v>
      </c>
      <c r="F2587" s="4">
        <f>((-1.1180673*(1.3/1.5))*0.6)-0.3</f>
        <v>-0.88139499600000004</v>
      </c>
    </row>
    <row r="2588" spans="1:6" x14ac:dyDescent="0.4">
      <c r="A2588" s="4">
        <v>2262.8560499999999</v>
      </c>
      <c r="B2588" s="4">
        <v>1.2638274</v>
      </c>
      <c r="C2588" s="4">
        <v>1.3081539</v>
      </c>
      <c r="D2588" s="4">
        <v>-30.479223999999999</v>
      </c>
      <c r="E2588" s="4">
        <f>(((((((((-31.3382259/(10/9))+-10.5)+-0.4)*0.98)*1.11)*0.85)-6.5)+3.2)+-0.3)+0.3</f>
        <v>-39.457104432525298</v>
      </c>
      <c r="F2588" s="4">
        <f>((-1.1192666*(1.3/1.5))*0.6)-0.3</f>
        <v>-0.88201863200000008</v>
      </c>
    </row>
    <row r="2589" spans="1:6" x14ac:dyDescent="0.4">
      <c r="A2589" s="4">
        <v>2263.7309749999999</v>
      </c>
      <c r="B2589" s="4">
        <v>1.2645465</v>
      </c>
      <c r="C2589" s="4">
        <v>1.3085492000000001</v>
      </c>
      <c r="D2589" s="4">
        <v>-30.480938999999999</v>
      </c>
      <c r="E2589" s="4">
        <f>(((((((((-31.3742754/(10/9))+-10.5)+-0.4)*0.98)*1.11)*0.85)-6.5)+3.2)+-0.3)+0.3</f>
        <v>-39.487103636791801</v>
      </c>
      <c r="F2589" s="4">
        <f>((-1.1204416*(1.3/1.5))*0.6)-0.3</f>
        <v>-0.882629632</v>
      </c>
    </row>
    <row r="2590" spans="1:6" x14ac:dyDescent="0.4">
      <c r="A2590" s="4">
        <v>2264.6059</v>
      </c>
      <c r="B2590" s="4">
        <v>1.2645582</v>
      </c>
      <c r="C2590" s="4">
        <v>1.3085769</v>
      </c>
      <c r="D2590" s="4">
        <v>-30.483004999999999</v>
      </c>
      <c r="E2590" s="4">
        <f>(((((((((-31.3739559/(10/9))+-10.5)+-0.4)*0.98)*1.11)*0.85)-6.5)+3.2)+-0.3)+0.3</f>
        <v>-39.486837759435303</v>
      </c>
      <c r="F2590" s="4">
        <f>((-1.1216732*(1.3/1.5))*0.6)-0.3</f>
        <v>-0.88327006399999997</v>
      </c>
    </row>
    <row r="2591" spans="1:6" x14ac:dyDescent="0.4">
      <c r="A2591" s="4">
        <v>2265.4808250000001</v>
      </c>
      <c r="B2591" s="4">
        <v>1.2646208999999999</v>
      </c>
      <c r="C2591" s="4">
        <v>1.3087169000000001</v>
      </c>
      <c r="D2591" s="4">
        <v>-30.484859</v>
      </c>
      <c r="E2591" s="4">
        <f>(((((((((-31.3437987/(10/9))+-10.5)+-0.4)*0.98)*1.11)*0.85)-6.5)+3.2)+-0.3)+0.3</f>
        <v>-39.4617419327829</v>
      </c>
      <c r="F2591" s="4">
        <f>((-1.12298*(1.3/1.5))*0.6)-0.3</f>
        <v>-0.8839496</v>
      </c>
    </row>
    <row r="2592" spans="1:6" x14ac:dyDescent="0.4">
      <c r="A2592" s="4">
        <v>2266.3557500000002</v>
      </c>
      <c r="B2592" s="4">
        <v>1.2648093</v>
      </c>
      <c r="C2592" s="4">
        <v>1.3089603999999999</v>
      </c>
      <c r="D2592" s="4">
        <v>-30.486788999999998</v>
      </c>
      <c r="E2592" s="4">
        <f>(((((((((-31.3361217/(10/9))+-10.5)+-0.4)*0.98)*1.11)*0.85)-6.5)+3.2)+-0.3)+0.3</f>
        <v>-39.455353386723893</v>
      </c>
      <c r="F2592" s="4">
        <f>((-1.1242089*(1.3/1.5))*0.6)-0.3</f>
        <v>-0.88458862799999993</v>
      </c>
    </row>
    <row r="2593" spans="1:6" x14ac:dyDescent="0.4">
      <c r="A2593" s="4">
        <v>2267.2306749999998</v>
      </c>
      <c r="B2593" s="4">
        <v>1.2650241</v>
      </c>
      <c r="C2593" s="4">
        <v>1.3089253000000001</v>
      </c>
      <c r="D2593" s="4">
        <v>-30.488371999999998</v>
      </c>
      <c r="E2593" s="4">
        <f>(((((((((-31.337361/(10/9))+-10.5)+-0.4)*0.98)*1.11)*0.85)-6.5)+3.2)+-0.3)+0.3</f>
        <v>-39.456384691286999</v>
      </c>
      <c r="F2593" s="4">
        <f>((-1.1254351*(1.3/1.5))*0.6)-0.3</f>
        <v>-0.88522625200000005</v>
      </c>
    </row>
    <row r="2594" spans="1:6" x14ac:dyDescent="0.4">
      <c r="A2594" s="4">
        <v>2268.1055999999999</v>
      </c>
      <c r="B2594" s="4">
        <v>1.2650328</v>
      </c>
      <c r="C2594" s="4">
        <v>1.3089005</v>
      </c>
      <c r="D2594" s="4">
        <v>-30.490030000000001</v>
      </c>
      <c r="E2594" s="4">
        <f>(((((((((-31.3237791/(10/9))+-10.5)+-0.4)*0.98)*1.11)*0.85)-6.5)+3.2)+-0.3)+0.3</f>
        <v>-39.445082282309691</v>
      </c>
      <c r="F2594" s="4">
        <f>((-1.126711*(1.3/1.5))*0.6)-0.3</f>
        <v>-0.88588971999999999</v>
      </c>
    </row>
    <row r="2595" spans="1:6" x14ac:dyDescent="0.4">
      <c r="A2595" s="4">
        <v>2268.9805249999999</v>
      </c>
      <c r="B2595" s="4">
        <v>1.2653479999999999</v>
      </c>
      <c r="C2595" s="4">
        <v>1.3093204000000001</v>
      </c>
      <c r="D2595" s="4">
        <v>-30.491363</v>
      </c>
      <c r="E2595" s="4">
        <f>(((((((((-31.3099776/(10/9))+-10.5)+-0.4)*0.98)*1.11)*0.85)-6.5)+3.2)+-0.3)+0.3</f>
        <v>-39.433597129459194</v>
      </c>
      <c r="F2595" s="4">
        <f>((-1.127984*(1.3/1.5))*0.6)-0.3</f>
        <v>-0.88655167999999995</v>
      </c>
    </row>
    <row r="2596" spans="1:6" x14ac:dyDescent="0.4">
      <c r="A2596" s="4">
        <v>2269.85545</v>
      </c>
      <c r="B2596" s="4">
        <v>1.2654258</v>
      </c>
      <c r="C2596" s="4">
        <v>1.3093842</v>
      </c>
      <c r="D2596" s="4">
        <v>-30.492818</v>
      </c>
      <c r="E2596" s="4">
        <f>(((((((((-31.3462944/(10/9))+-10.5)+-0.4)*0.98)*1.11)*0.85)-6.5)+3.2)+-0.3)+0.3</f>
        <v>-39.463818771964796</v>
      </c>
      <c r="F2596" s="4">
        <f>((-1.1292831*(1.3/1.5))*0.6)-0.3</f>
        <v>-0.88722721199999999</v>
      </c>
    </row>
    <row r="2597" spans="1:6" x14ac:dyDescent="0.4">
      <c r="A2597" s="4">
        <v>2270.7303750000001</v>
      </c>
      <c r="B2597" s="4">
        <v>1.2655833000000001</v>
      </c>
      <c r="C2597" s="4">
        <v>1.3095033</v>
      </c>
      <c r="D2597" s="4">
        <v>-30.493776999999998</v>
      </c>
      <c r="E2597" s="4">
        <f>(((((((((-31.3525323/(10/9))+-10.5)+-0.4)*0.98)*1.11)*0.85)-6.5)+3.2)+-0.3)+0.3</f>
        <v>-39.469009746494102</v>
      </c>
      <c r="F2597" s="4">
        <f>((-1.1305906*(1.3/1.5))*0.6)-0.3</f>
        <v>-0.88790711199999994</v>
      </c>
    </row>
    <row r="2598" spans="1:6" x14ac:dyDescent="0.4">
      <c r="A2598" s="4">
        <v>2271.6052999999997</v>
      </c>
      <c r="B2598" s="4">
        <v>1.2659826999999999</v>
      </c>
      <c r="C2598" s="4">
        <v>1.3097030000000001</v>
      </c>
      <c r="D2598" s="4">
        <v>-30.494653</v>
      </c>
      <c r="E2598" s="4">
        <f>(((((((((-31.3375122/(10/9))+-10.5)+-0.4)*0.98)*1.11)*0.85)-6.5)+3.2)+-0.3)+0.3</f>
        <v>-39.456510514937392</v>
      </c>
      <c r="F2598" s="4">
        <f>((-1.131946*(1.3/1.5))*0.6)-0.3</f>
        <v>-0.88861192</v>
      </c>
    </row>
    <row r="2599" spans="1:6" x14ac:dyDescent="0.4">
      <c r="A2599" s="4">
        <v>2272.4802250000002</v>
      </c>
      <c r="B2599" s="4">
        <v>1.2660864999999999</v>
      </c>
      <c r="C2599" s="4">
        <v>1.3099247999999999</v>
      </c>
      <c r="D2599" s="4">
        <v>-30.496103999999999</v>
      </c>
      <c r="E2599" s="4">
        <f>(((((((((-31.3492329/(10/9))+-10.5)+-0.4)*0.98)*1.11)*0.85)-6.5)+3.2)+-0.3)+0.3</f>
        <v>-39.466264094694303</v>
      </c>
      <c r="F2599" s="4">
        <f>((-1.1333582*(1.3/1.5))*0.6)-0.3</f>
        <v>-0.88934626400000005</v>
      </c>
    </row>
    <row r="2600" spans="1:6" x14ac:dyDescent="0.4">
      <c r="A2600" s="4">
        <v>2273.3551499999999</v>
      </c>
      <c r="B2600" s="4">
        <v>1.2664086000000001</v>
      </c>
      <c r="C2600" s="4">
        <v>1.310063</v>
      </c>
      <c r="D2600" s="4">
        <v>-30.49701</v>
      </c>
      <c r="E2600" s="4">
        <f>(((((((((-31.3064514/(10/9))+-10.5)+-0.4)*0.98)*1.11)*0.85)-6.5)+3.2)+-0.3)+0.3</f>
        <v>-39.430662742183799</v>
      </c>
      <c r="F2600" s="4">
        <f>((-1.1347317*(1.3/1.5))*0.6)-0.3</f>
        <v>-0.89006048399999993</v>
      </c>
    </row>
    <row r="2601" spans="1:6" x14ac:dyDescent="0.4">
      <c r="A2601" s="4">
        <v>2274.2300750000004</v>
      </c>
      <c r="B2601" s="4">
        <v>1.2665374</v>
      </c>
      <c r="C2601" s="4">
        <v>1.3102933999999999</v>
      </c>
      <c r="D2601" s="4">
        <v>-30.497525</v>
      </c>
      <c r="E2601" s="4">
        <f>(((((((((-31.3295544/(10/9))+-10.5)+-0.4)*0.98)*1.11)*0.85)-6.5)+3.2)+-0.3)+0.3</f>
        <v>-39.449888296384799</v>
      </c>
      <c r="F2601" s="4">
        <f>((-1.1360961*(1.3/1.5))*0.6)-0.3</f>
        <v>-0.89076997199999997</v>
      </c>
    </row>
    <row r="2602" spans="1:6" x14ac:dyDescent="0.4">
      <c r="A2602" s="4">
        <v>2275.105</v>
      </c>
      <c r="B2602" s="4">
        <v>1.2664892999999999</v>
      </c>
      <c r="C2602" s="4">
        <v>1.3103758999999999</v>
      </c>
      <c r="D2602" s="4">
        <v>-30.498100999999998</v>
      </c>
      <c r="E2602" s="4">
        <f>(((((((((-31.3382403/(10/9))+-10.5)+-0.4)*0.98)*1.11)*0.85)-6.5)+3.2)+-0.3)+0.3</f>
        <v>-39.457116415730091</v>
      </c>
      <c r="F2602" s="4">
        <f>((-1.1375005*(1.3/1.5))*0.6)-0.3</f>
        <v>-0.89150025999999993</v>
      </c>
    </row>
    <row r="2603" spans="1:6" x14ac:dyDescent="0.4">
      <c r="A2603" s="4">
        <v>2275.9799249999996</v>
      </c>
      <c r="B2603" s="4">
        <v>1.2670380999999999</v>
      </c>
      <c r="C2603" s="4">
        <v>1.3107964000000001</v>
      </c>
      <c r="D2603" s="4">
        <v>-30.498802999999999</v>
      </c>
      <c r="E2603" s="4">
        <f>(((((((((-31.3328502/(10/9))+-10.5)+-0.4)*0.98)*1.11)*0.85)-6.5)+3.2)+-0.3)+0.3</f>
        <v>-39.452630952383394</v>
      </c>
      <c r="F2603" s="4">
        <f>((-1.1388534*(1.3/1.5))*0.6)-0.3</f>
        <v>-0.8922037679999999</v>
      </c>
    </row>
    <row r="2604" spans="1:6" x14ac:dyDescent="0.4">
      <c r="A2604" s="4">
        <v>2276.8548500000002</v>
      </c>
      <c r="B2604" s="4">
        <v>1.2670467000000001</v>
      </c>
      <c r="C2604" s="4">
        <v>1.3109245</v>
      </c>
      <c r="D2604" s="4">
        <v>-30.499434999999998</v>
      </c>
      <c r="E2604" s="4">
        <f>(((((((((-31.3398981/(10/9))+-10.5)+-0.4)*0.98)*1.11)*0.85)-6.5)+3.2)+-0.3)+0.3</f>
        <v>-39.458495982182697</v>
      </c>
      <c r="F2604" s="4">
        <f>((-1.1402073*(1.3/1.5))*0.6)-0.3</f>
        <v>-0.89290779600000003</v>
      </c>
    </row>
    <row r="2605" spans="1:6" x14ac:dyDescent="0.4">
      <c r="A2605" s="4">
        <v>2277.7297749999998</v>
      </c>
      <c r="B2605" s="4">
        <v>1.2671924000000001</v>
      </c>
      <c r="C2605" s="4">
        <v>1.3112234</v>
      </c>
      <c r="D2605" s="4">
        <v>-30.499858</v>
      </c>
      <c r="E2605" s="4">
        <f>(((((((((-31.3086798/(10/9))+-10.5)+-0.4)*0.98)*1.11)*0.85)-6.5)+3.2)+-0.3)+0.3</f>
        <v>-39.432517143126596</v>
      </c>
      <c r="F2605" s="4">
        <f>((-1.141525*(1.3/1.5))*0.6)-0.3</f>
        <v>-0.89359299999999986</v>
      </c>
    </row>
    <row r="2606" spans="1:6" x14ac:dyDescent="0.4">
      <c r="A2606" s="4">
        <v>2278.6047000000003</v>
      </c>
      <c r="B2606" s="4">
        <v>1.2675135</v>
      </c>
      <c r="C2606" s="4">
        <v>1.3113652</v>
      </c>
      <c r="D2606" s="4">
        <v>-30.500108000000001</v>
      </c>
      <c r="E2606" s="4">
        <f>(((((((((-31.2927597/(10/9))+-10.5)+-0.4)*0.98)*1.11)*0.85)-6.5)+3.2)+-0.3)+0.3</f>
        <v>-39.4192689612699</v>
      </c>
      <c r="F2606" s="4">
        <f>((-1.1428003*(1.3/1.5))*0.6)-0.3</f>
        <v>-0.89425615599999997</v>
      </c>
    </row>
    <row r="2607" spans="1:6" x14ac:dyDescent="0.4">
      <c r="A2607" s="4">
        <v>2279.4796249999999</v>
      </c>
      <c r="B2607" s="4">
        <v>1.2678223</v>
      </c>
      <c r="C2607" s="4">
        <v>1.3115235999999999</v>
      </c>
      <c r="D2607" s="4">
        <v>-30.500374999999998</v>
      </c>
      <c r="E2607" s="4">
        <f>(((((((((-31.2942222/(10/9))+-10.5)+-0.4)*0.98)*1.11)*0.85)-6.5)+3.2)+-0.3)+0.3</f>
        <v>-39.420486005507399</v>
      </c>
      <c r="F2607" s="4">
        <f>((-1.1440914*(1.3/1.5))*0.6)-0.3</f>
        <v>-0.89492752799999997</v>
      </c>
    </row>
    <row r="2608" spans="1:6" x14ac:dyDescent="0.4">
      <c r="A2608" s="4">
        <v>2280.35455</v>
      </c>
      <c r="B2608" s="4">
        <v>1.2679560000000001</v>
      </c>
      <c r="C2608" s="4">
        <v>1.3116663</v>
      </c>
      <c r="D2608" s="4">
        <v>-30.500181999999999</v>
      </c>
      <c r="E2608" s="4">
        <f>(((((((((-31.2961518/(10/9))+-10.5)+-0.4)*0.98)*1.11)*0.85)-6.5)+3.2)+-0.3)+0.3</f>
        <v>-39.4220917549506</v>
      </c>
      <c r="F2608" s="4">
        <f>((-1.1453466*(1.3/1.5))*0.6)-0.3</f>
        <v>-0.89558023200000014</v>
      </c>
    </row>
    <row r="2609" spans="1:6" x14ac:dyDescent="0.4">
      <c r="A2609" s="4">
        <v>2281.2294750000001</v>
      </c>
      <c r="B2609" s="4">
        <v>1.2681838000000001</v>
      </c>
      <c r="C2609" s="4">
        <v>1.3119559999999999</v>
      </c>
      <c r="D2609" s="4">
        <v>-30.500115999999998</v>
      </c>
      <c r="E2609" s="4">
        <f>(((((((((-31.3096896/(10/9))+-10.5)+-0.4)*0.98)*1.11)*0.85)-6.5)+3.2)+-0.3)+0.3</f>
        <v>-39.433357465363194</v>
      </c>
      <c r="F2609" s="4">
        <f>((-1.1465924*(1.3/1.5))*0.6)-0.3</f>
        <v>-0.896228048</v>
      </c>
    </row>
    <row r="2610" spans="1:6" x14ac:dyDescent="0.4">
      <c r="A2610" s="4">
        <v>2282.1043999999997</v>
      </c>
      <c r="B2610" s="4">
        <v>1.2683814</v>
      </c>
      <c r="C2610" s="4">
        <v>1.3120083</v>
      </c>
      <c r="D2610" s="4">
        <v>-30.500055</v>
      </c>
      <c r="E2610" s="4">
        <f>(((((((((-31.3170912/(10/9))+-10.5)+-0.4)*0.98)*1.11)*0.85)-6.5)+3.2)+-0.3)+0.3</f>
        <v>-39.439516832630396</v>
      </c>
      <c r="F2610" s="4">
        <f>((-1.1478331*(1.3/1.5))*0.6)-0.3</f>
        <v>-0.89687321200000003</v>
      </c>
    </row>
    <row r="2611" spans="1:6" x14ac:dyDescent="0.4">
      <c r="A2611" s="4">
        <v>2282.9793250000002</v>
      </c>
      <c r="B2611" s="4">
        <v>1.2684156</v>
      </c>
      <c r="C2611" s="4">
        <v>1.3120008000000001</v>
      </c>
      <c r="D2611" s="4">
        <v>-30.500240999999999</v>
      </c>
      <c r="E2611" s="4">
        <f>(((((((((-31.3189245/(10/9))+-10.5)+-0.4)*0.98)*1.11)*0.85)-6.5)+3.2)+-0.3)+0.3</f>
        <v>-39.441042444391499</v>
      </c>
      <c r="F2611" s="4">
        <f>((-1.1490626*(1.3/1.5))*0.6)-0.3</f>
        <v>-0.89751255200000002</v>
      </c>
    </row>
    <row r="2612" spans="1:6" x14ac:dyDescent="0.4">
      <c r="A2612" s="4">
        <v>2283.8542499999999</v>
      </c>
      <c r="B2612" s="4">
        <v>1.2686763999999999</v>
      </c>
      <c r="C2612" s="4">
        <v>1.3120626</v>
      </c>
      <c r="D2612" s="4">
        <v>-30.500181999999999</v>
      </c>
      <c r="E2612" s="4">
        <f>(((((((((-31.2843798/(10/9))+-10.5)+-0.4)*0.98)*1.11)*0.85)-6.5)+3.2)+-0.3)+0.3</f>
        <v>-39.41229548502659</v>
      </c>
      <c r="F2612" s="4">
        <f>((-1.1502637*(1.3/1.5))*0.6)-0.3</f>
        <v>-0.89813712400000001</v>
      </c>
    </row>
    <row r="2613" spans="1:6" x14ac:dyDescent="0.4">
      <c r="A2613" s="4">
        <v>2284.7291749999999</v>
      </c>
      <c r="B2613" s="4">
        <v>1.2688409</v>
      </c>
      <c r="C2613" s="4">
        <v>1.3125359000000001</v>
      </c>
      <c r="D2613" s="4">
        <v>-30.500260999999998</v>
      </c>
      <c r="E2613" s="4">
        <f>(((((((((-31.2705846/(10/9))+-10.5)+-0.4)*0.98)*1.11)*0.85)-6.5)+3.2)+-0.3)+0.3</f>
        <v>-39.400815574828201</v>
      </c>
      <c r="F2613" s="4">
        <f>((-1.1513469*(1.3/1.5))*0.6)-0.3</f>
        <v>-0.89870038799999996</v>
      </c>
    </row>
    <row r="2614" spans="1:6" x14ac:dyDescent="0.4">
      <c r="A2614" s="4">
        <v>2285.6041</v>
      </c>
      <c r="B2614" s="4">
        <v>1.2694460000000001</v>
      </c>
      <c r="C2614" s="4">
        <v>1.3127294</v>
      </c>
      <c r="D2614" s="4">
        <v>-30.500169</v>
      </c>
      <c r="E2614" s="4">
        <f>(((((((((-31.2962823/(10/9))+-10.5)+-0.4)*0.98)*1.11)*0.85)-6.5)+3.2)+-0.3)+0.3</f>
        <v>-39.422200352744099</v>
      </c>
      <c r="F2614" s="4">
        <f>((-1.1523976*(1.3/1.5))*0.6)-0.3</f>
        <v>-0.89924675200000004</v>
      </c>
    </row>
    <row r="2615" spans="1:6" x14ac:dyDescent="0.4">
      <c r="A2615" s="4">
        <v>2286.4790250000001</v>
      </c>
      <c r="B2615" s="4">
        <v>1.2695159</v>
      </c>
      <c r="C2615" s="4">
        <v>1.3130187</v>
      </c>
      <c r="D2615" s="4">
        <v>-30.500138</v>
      </c>
      <c r="E2615" s="4">
        <f>(((((((((-31.3086933/(10/9))+-10.5)+-0.4)*0.98)*1.11)*0.85)-6.5)+3.2)+-0.3)+0.3</f>
        <v>-39.43252837738109</v>
      </c>
      <c r="F2615" s="4">
        <f>((-1.1535199*(1.3/1.5))*0.6)-0.3</f>
        <v>-0.89983034800000006</v>
      </c>
    </row>
    <row r="2616" spans="1:6" x14ac:dyDescent="0.4">
      <c r="A2616" s="4">
        <v>2287.3539500000002</v>
      </c>
      <c r="B2616" s="4">
        <v>1.2693968</v>
      </c>
      <c r="C2616" s="4">
        <v>1.313167</v>
      </c>
      <c r="D2616" s="4">
        <v>-30.500208999999998</v>
      </c>
      <c r="E2616" s="4">
        <f>(((((((((-31.2933267/(10/9))+-10.5)+-0.4)*0.98)*1.11)*0.85)-6.5)+3.2)+-0.3)+0.3</f>
        <v>-39.419740799958895</v>
      </c>
      <c r="F2616" s="4">
        <f>((-1.1546273*(1.3/1.5))*0.6)-0.3</f>
        <v>-0.90040619600000005</v>
      </c>
    </row>
    <row r="2617" spans="1:6" x14ac:dyDescent="0.4">
      <c r="A2617" s="4">
        <v>2288.2288749999998</v>
      </c>
      <c r="B2617" s="4">
        <v>1.2698491000000001</v>
      </c>
      <c r="C2617" s="4">
        <v>1.3134755</v>
      </c>
      <c r="D2617" s="4">
        <v>-30.500239999999998</v>
      </c>
      <c r="E2617" s="4">
        <f>(((((((((-31.3110657/(10/9))+-10.5)+-0.4)*0.98)*1.11)*0.85)-6.5)+3.2)+-0.3)+0.3</f>
        <v>-39.434502610371901</v>
      </c>
      <c r="F2617" s="4">
        <f>((-1.1556519*(1.3/1.5))*0.6)-0.3</f>
        <v>-0.90093898800000005</v>
      </c>
    </row>
    <row r="2618" spans="1:6" x14ac:dyDescent="0.4">
      <c r="A2618" s="4">
        <v>2289.1037999999999</v>
      </c>
      <c r="B2618" s="4">
        <v>1.269995</v>
      </c>
      <c r="C2618" s="4">
        <v>1.3136680000000001</v>
      </c>
      <c r="D2618" s="4">
        <v>-30.500170999999998</v>
      </c>
      <c r="E2618" s="4">
        <f>(((((((((-31.2793875/(10/9))+-10.5)+-0.4)*0.98)*1.11)*0.85)-6.5)+3.2)+-0.3)+0.3</f>
        <v>-39.408141057712498</v>
      </c>
      <c r="F2618" s="4">
        <f>((-1.1566671*(1.3/1.5))*0.6)-0.3</f>
        <v>-0.90146689199999996</v>
      </c>
    </row>
    <row r="2619" spans="1:6" x14ac:dyDescent="0.4">
      <c r="A2619" s="4">
        <v>2289.9787249999999</v>
      </c>
      <c r="B2619" s="4">
        <v>1.2700073000000001</v>
      </c>
      <c r="C2619" s="4">
        <v>1.3135778</v>
      </c>
      <c r="D2619" s="4">
        <v>-30.499987999999998</v>
      </c>
      <c r="E2619" s="4">
        <f>(((((((((-31.3097886/(10/9))+-10.5)+-0.4)*0.98)*1.11)*0.85)-6.5)+3.2)+-0.3)+0.3</f>
        <v>-39.433439849896189</v>
      </c>
      <c r="F2619" s="4">
        <f>((-1.1576217*(1.3/1.5))*0.6)-0.3</f>
        <v>-0.90196328400000003</v>
      </c>
    </row>
    <row r="2620" spans="1:6" x14ac:dyDescent="0.4">
      <c r="A2620" s="4">
        <v>2290.85365</v>
      </c>
      <c r="B2620" s="4">
        <v>1.2699510000000001</v>
      </c>
      <c r="C2620" s="4">
        <v>1.3138555000000001</v>
      </c>
      <c r="D2620" s="4">
        <v>-30.499994000000001</v>
      </c>
      <c r="E2620" s="4">
        <f>(((((((((-31.2774138/(10/9))+-10.5)+-0.4)*0.98)*1.11)*0.85)-6.5)+3.2)+-0.3)+0.3</f>
        <v>-39.406498609704599</v>
      </c>
      <c r="F2620" s="4">
        <f>((-1.1584752*(1.3/1.5))*0.6)-0.3</f>
        <v>-0.9024071039999999</v>
      </c>
    </row>
    <row r="2621" spans="1:6" x14ac:dyDescent="0.4">
      <c r="A2621" s="4">
        <v>2291.7285750000001</v>
      </c>
      <c r="B2621" s="4">
        <v>1.2706009</v>
      </c>
      <c r="C2621" s="4">
        <v>1.3140353</v>
      </c>
      <c r="D2621" s="4">
        <v>-30.499790999999998</v>
      </c>
      <c r="E2621" s="4">
        <f>(((((((((-31.2550218/(10/9))+-10.5)+-0.4)*0.98)*1.11)*0.85)-6.5)+3.2)+-0.3)+0.3</f>
        <v>-39.387864726240593</v>
      </c>
      <c r="F2621" s="4">
        <f>((-1.1592336*(1.3/1.5))*0.6)-0.3</f>
        <v>-0.90280147200000016</v>
      </c>
    </row>
    <row r="2622" spans="1:6" x14ac:dyDescent="0.4">
      <c r="A2622" s="4">
        <v>2292.6035000000002</v>
      </c>
      <c r="B2622" s="4">
        <v>1.2706577999999999</v>
      </c>
      <c r="C2622" s="4">
        <v>1.3141303</v>
      </c>
      <c r="D2622" s="4">
        <v>-30.500088999999999</v>
      </c>
      <c r="E2622" s="4">
        <f>(((((((((-31.2766758/(10/9))+-10.5)+-0.4)*0.98)*1.11)*0.85)-6.5)+3.2)+-0.3)+0.3</f>
        <v>-39.405884470458595</v>
      </c>
      <c r="F2622" s="4">
        <f>((-1.1600149*(1.3/1.5))*0.6)-0.3</f>
        <v>-0.90320774800000003</v>
      </c>
    </row>
    <row r="2623" spans="1:6" x14ac:dyDescent="0.4">
      <c r="A2623" s="4">
        <v>2293.4784249999998</v>
      </c>
      <c r="B2623" s="4">
        <v>1.271085</v>
      </c>
      <c r="C2623" s="4">
        <v>1.3147253999999999</v>
      </c>
      <c r="D2623" s="4">
        <v>-30.500335</v>
      </c>
      <c r="E2623" s="4">
        <f>(((((((((-31.283559/(10/9))+-10.5)+-0.4)*0.98)*1.11)*0.85)-6.5)+3.2)+-0.3)+0.3</f>
        <v>-39.411612442352997</v>
      </c>
      <c r="F2623" s="4">
        <f>((-1.1606957*(1.3/1.5))*0.6)-0.3</f>
        <v>-0.90356176399999999</v>
      </c>
    </row>
    <row r="2624" spans="1:6" x14ac:dyDescent="0.4">
      <c r="A2624" s="4">
        <v>2294.3533500000003</v>
      </c>
      <c r="B2624" s="4">
        <v>1.2711045000000001</v>
      </c>
      <c r="C2624" s="4">
        <v>1.3147515000000001</v>
      </c>
      <c r="D2624" s="4">
        <v>-30.500565999999999</v>
      </c>
      <c r="E2624" s="4">
        <f>(((((((((-31.2815709/(10/9))+-10.5)+-0.4)*0.98)*1.11)*0.85)-6.5)+3.2)+-0.3)+0.3</f>
        <v>-39.40995801114029</v>
      </c>
      <c r="F2624" s="4">
        <f>((-1.1613437*(1.3/1.5))*0.6)-0.3</f>
        <v>-0.90389872400000004</v>
      </c>
    </row>
    <row r="2625" spans="1:6" x14ac:dyDescent="0.4">
      <c r="A2625" s="4">
        <v>2295.2282749999999</v>
      </c>
      <c r="B2625" s="4">
        <v>1.2713943000000001</v>
      </c>
      <c r="C2625" s="4">
        <v>1.3151568</v>
      </c>
      <c r="D2625" s="4">
        <v>-30.500858000000001</v>
      </c>
      <c r="E2625" s="4">
        <f>(((((((((-31.2710796/(10/9))+-10.5)+-0.4)*0.98)*1.11)*0.85)-6.5)+3.2)+-0.3)+0.3</f>
        <v>-39.401227497493203</v>
      </c>
      <c r="F2625" s="4">
        <f>((-1.1619523*(1.3/1.5))*0.6)-0.3</f>
        <v>-0.904215196</v>
      </c>
    </row>
    <row r="2626" spans="1:6" x14ac:dyDescent="0.4">
      <c r="A2626" s="4">
        <v>2296.1032</v>
      </c>
      <c r="B2626" s="4">
        <v>1.2715244999999999</v>
      </c>
      <c r="C2626" s="4">
        <v>1.3150869999999999</v>
      </c>
      <c r="D2626" s="4">
        <v>-30.501196999999998</v>
      </c>
      <c r="E2626" s="4">
        <f>(((((((((-31.2737643/(10/9))+-10.5)+-0.4)*0.98)*1.11)*0.85)-6.5)+3.2)+-0.3)+0.3</f>
        <v>-39.403461616238097</v>
      </c>
      <c r="F2626" s="4">
        <f>((-1.1625254*(1.3/1.5))*0.6)-0.3</f>
        <v>-0.90451320800000001</v>
      </c>
    </row>
    <row r="2627" spans="1:6" x14ac:dyDescent="0.4">
      <c r="A2627" s="4">
        <v>2296.9781250000001</v>
      </c>
      <c r="B2627" s="4">
        <v>1.2719353</v>
      </c>
      <c r="C2627" s="4">
        <v>1.3156729</v>
      </c>
      <c r="D2627" s="4">
        <v>-30.501446999999999</v>
      </c>
      <c r="E2627" s="4">
        <f>(((((((((-31.2982497/(10/9))+-10.5)+-0.4)*0.98)*1.11)*0.85)-6.5)+3.2)+-0.3)+0.3</f>
        <v>-39.423837558099898</v>
      </c>
      <c r="F2627" s="4">
        <f>((-1.1630472*(1.3/1.5))*0.6)-0.3</f>
        <v>-0.90478454399999997</v>
      </c>
    </row>
    <row r="2628" spans="1:6" x14ac:dyDescent="0.4">
      <c r="A2628" s="4">
        <v>2297.8530499999997</v>
      </c>
      <c r="B2628" s="4">
        <v>1.2723309</v>
      </c>
      <c r="C2628" s="4">
        <v>1.3156574999999999</v>
      </c>
      <c r="D2628" s="4">
        <v>-30.501660999999999</v>
      </c>
      <c r="E2628" s="4">
        <f>(((((((((-31.2785568/(10/9))+-10.5)+-0.4)*0.98)*1.11)*0.85)-6.5)+3.2)+-0.3)+0.3</f>
        <v>-39.407449776585594</v>
      </c>
      <c r="F2628" s="4">
        <f>((-1.1634039*(1.3/1.5))*0.6)-0.3</f>
        <v>-0.90497002800000015</v>
      </c>
    </row>
    <row r="2629" spans="1:6" x14ac:dyDescent="0.4">
      <c r="A2629" s="4">
        <v>2298.7279750000002</v>
      </c>
      <c r="B2629" s="4">
        <v>1.2720526000000001</v>
      </c>
      <c r="C2629" s="4">
        <v>1.3159406</v>
      </c>
      <c r="D2629" s="4">
        <v>-30.502126000000001</v>
      </c>
      <c r="E2629" s="4">
        <f>(((((((((-31.275972/(10/9))+-10.5)+-0.4)*0.98)*1.11)*0.85)-6.5)+3.2)+-0.3)+0.3</f>
        <v>-39.405298791323993</v>
      </c>
      <c r="F2629" s="4">
        <f>((-1.1637133*(1.3/1.5))*0.6)-0.3</f>
        <v>-0.90513091600000006</v>
      </c>
    </row>
    <row r="2630" spans="1:6" x14ac:dyDescent="0.4">
      <c r="A2630" s="4">
        <v>2299.6028999999999</v>
      </c>
      <c r="B2630" s="4">
        <v>1.2723949000000001</v>
      </c>
      <c r="C2630" s="4">
        <v>1.3159095999999999</v>
      </c>
      <c r="D2630" s="4">
        <v>-30.502904000000001</v>
      </c>
      <c r="E2630" s="4">
        <f>(((((((((-31.275549/(10/9))+-10.5)+-0.4)*0.98)*1.11)*0.85)-6.5)+3.2)+-0.3)+0.3</f>
        <v>-39.404946784683005</v>
      </c>
      <c r="F2630" s="4">
        <f>((-1.1640583*(1.3/1.5))*0.6)-0.3</f>
        <v>-0.905310316</v>
      </c>
    </row>
    <row r="2631" spans="1:6" x14ac:dyDescent="0.4">
      <c r="A2631" s="4">
        <v>2300.4778250000004</v>
      </c>
      <c r="B2631" s="4">
        <v>1.2723472</v>
      </c>
      <c r="C2631" s="4">
        <v>1.3162081000000001</v>
      </c>
      <c r="D2631" s="4">
        <v>-30.503498999999998</v>
      </c>
      <c r="E2631" s="4">
        <f>(((((((((-31.2886611/(10/9))+-10.5)+-0.4)*0.98)*1.11)*0.85)-6.5)+3.2)+-0.3)+0.3</f>
        <v>-39.415858241603686</v>
      </c>
      <c r="F2631" s="4">
        <f>((-1.164286*(1.3/1.5))*0.6)-0.3</f>
        <v>-0.90542871999999996</v>
      </c>
    </row>
    <row r="2632" spans="1:6" x14ac:dyDescent="0.4">
      <c r="A2632" s="4">
        <v>2301.35275</v>
      </c>
      <c r="B2632" s="4">
        <v>1.2729961999999999</v>
      </c>
      <c r="C2632" s="4">
        <v>1.3164465000000001</v>
      </c>
      <c r="D2632" s="4">
        <v>-30.504376999999998</v>
      </c>
      <c r="E2632" s="4">
        <f>(((((((((-31.313871/(10/9))+-10.5)+-0.4)*0.98)*1.11)*0.85)-6.5)+3.2)+-0.3)+0.3</f>
        <v>-39.43683708845699</v>
      </c>
      <c r="F2632" s="4">
        <f>((-1.1644957*(1.3/1.5))*0.6)-0.3</f>
        <v>-0.90553776399999997</v>
      </c>
    </row>
    <row r="2633" spans="1:6" x14ac:dyDescent="0.4">
      <c r="A2633" s="4">
        <v>2302.2276749999996</v>
      </c>
      <c r="B2633" s="4">
        <v>1.2729052000000001</v>
      </c>
      <c r="C2633" s="4">
        <v>1.3165450000000001</v>
      </c>
      <c r="D2633" s="4">
        <v>-30.504868999999999</v>
      </c>
      <c r="E2633" s="4">
        <f>(((((((((-31.2611508/(10/9))+-10.5)+-0.4)*0.98)*1.11)*0.85)-6.5)+3.2)+-0.3)+0.3</f>
        <v>-39.3929650777836</v>
      </c>
      <c r="F2633" s="4">
        <f>((-1.1646507*(1.3/1.5))*0.6)-0.3</f>
        <v>-0.90561836399999995</v>
      </c>
    </row>
    <row r="2634" spans="1:6" x14ac:dyDescent="0.4">
      <c r="A2634" s="4">
        <v>2303.1026000000002</v>
      </c>
      <c r="B2634" s="4">
        <v>1.2730752000000001</v>
      </c>
      <c r="C2634" s="4">
        <v>1.316972</v>
      </c>
      <c r="D2634" s="4">
        <v>-30.505561</v>
      </c>
      <c r="E2634" s="4">
        <f>(((((((((-31.2717348/(10/9))+-10.5)+-0.4)*0.98)*1.11)*0.85)-6.5)+3.2)+-0.3)+0.3</f>
        <v>-39.401772733311596</v>
      </c>
      <c r="F2634" s="4">
        <f>((-1.1646985*(1.3/1.5))*0.6)-0.3</f>
        <v>-0.90564321999999997</v>
      </c>
    </row>
    <row r="2635" spans="1:6" x14ac:dyDescent="0.4">
      <c r="A2635" s="4">
        <v>2303.9775249999998</v>
      </c>
      <c r="B2635" s="4">
        <v>1.2733682</v>
      </c>
      <c r="C2635" s="4">
        <v>1.3169116000000001</v>
      </c>
      <c r="D2635" s="4">
        <v>-30.506308999999998</v>
      </c>
      <c r="E2635" s="4">
        <f>(((((((((-31.2681438/(10/9))+-10.5)+-0.4)*0.98)*1.11)*0.85)-6.5)+3.2)+-0.3)+0.3</f>
        <v>-39.398784421614593</v>
      </c>
      <c r="F2635" s="4">
        <f>((-1.1647661*(1.3/1.5))*0.6)-0.3</f>
        <v>-0.9056783719999999</v>
      </c>
    </row>
    <row r="2636" spans="1:6" x14ac:dyDescent="0.4">
      <c r="A2636" s="4">
        <v>2304.8524500000003</v>
      </c>
      <c r="B2636" s="4">
        <v>1.2735513000000001</v>
      </c>
      <c r="C2636" s="4">
        <v>1.3172581999999999</v>
      </c>
      <c r="D2636" s="4">
        <v>-30.506952999999999</v>
      </c>
      <c r="E2636" s="4">
        <f>(((((((((-31.2713091/(10/9))+-10.5)+-0.4)*0.98)*1.11)*0.85)-6.5)+3.2)+-0.3)+0.3</f>
        <v>-39.401418479819689</v>
      </c>
      <c r="F2636" s="4">
        <f>((-1.1647629*(1.3/1.5))*0.6)-0.3</f>
        <v>-0.90567670799999989</v>
      </c>
    </row>
    <row r="2637" spans="1:6" x14ac:dyDescent="0.4">
      <c r="A2637" s="4">
        <v>2305.7273749999999</v>
      </c>
      <c r="B2637" s="4">
        <v>1.2737092000000001</v>
      </c>
      <c r="C2637" s="4">
        <v>1.3172219000000001</v>
      </c>
      <c r="D2637" s="4">
        <v>-30.50789</v>
      </c>
      <c r="E2637" s="4">
        <f>(((((((((-31.2598287/(10/9))+-10.5)+-0.4)*0.98)*1.11)*0.85)-6.5)+3.2)+-0.3)+0.3</f>
        <v>-39.39186486979289</v>
      </c>
      <c r="F2637" s="4">
        <f>((-1.1646762*(1.3/1.5))*0.6)-0.3</f>
        <v>-0.90563162399999997</v>
      </c>
    </row>
    <row r="2638" spans="1:6" x14ac:dyDescent="0.4">
      <c r="A2638" s="4">
        <v>2306.6023</v>
      </c>
      <c r="B2638" s="4">
        <v>1.2739625000000001</v>
      </c>
      <c r="C2638" s="4">
        <v>1.3176937</v>
      </c>
      <c r="D2638" s="4">
        <v>-30.509059000000001</v>
      </c>
      <c r="E2638" s="4">
        <f>(((((((((-31.247847/(10/9))+-10.5)+-0.4)*0.98)*1.11)*0.85)-6.5)+3.2)+-0.3)+0.3</f>
        <v>-39.381894094448995</v>
      </c>
      <c r="F2638" s="4">
        <f>((-1.164547*(1.3/1.5))*0.6)-0.3</f>
        <v>-0.90556444000000003</v>
      </c>
    </row>
    <row r="2639" spans="1:6" x14ac:dyDescent="0.4">
      <c r="A2639" s="4">
        <v>2307.4772250000001</v>
      </c>
      <c r="B2639" s="4">
        <v>1.2741435999999999</v>
      </c>
      <c r="C2639" s="4">
        <v>1.3179352</v>
      </c>
      <c r="D2639" s="4">
        <v>-30.509978</v>
      </c>
      <c r="E2639" s="4">
        <f>(((((((((-31.2323247/(10/9))+-10.5)+-0.4)*0.98)*1.11)*0.85)-6.5)+3.2)+-0.3)+0.3</f>
        <v>-39.368976948624898</v>
      </c>
      <c r="F2639" s="4">
        <f>((-1.1644357*(1.3/1.5))*0.6)-0.3</f>
        <v>-0.90550656399999996</v>
      </c>
    </row>
    <row r="2640" spans="1:6" x14ac:dyDescent="0.4">
      <c r="A2640" s="4">
        <v>2308.3521499999997</v>
      </c>
      <c r="B2640" s="4">
        <v>1.2747105000000001</v>
      </c>
      <c r="C2640" s="4">
        <v>1.3183265</v>
      </c>
      <c r="D2640" s="4">
        <v>-30.511104</v>
      </c>
      <c r="E2640" s="4">
        <f>(((((((((-31.2848226/(10/9))+-10.5)+-0.4)*0.98)*1.11)*0.85)-6.5)+3.2)+-0.3)+0.3</f>
        <v>-39.412663968574194</v>
      </c>
      <c r="F2640" s="4">
        <f>((-1.1642759*(1.3/1.5))*0.6)-0.3</f>
        <v>-0.90542346799999995</v>
      </c>
    </row>
    <row r="2641" spans="1:6" x14ac:dyDescent="0.4">
      <c r="A2641" s="4">
        <v>2309.2270750000002</v>
      </c>
      <c r="B2641" s="4">
        <v>1.2748550999999999</v>
      </c>
      <c r="C2641" s="4">
        <v>1.3186738</v>
      </c>
      <c r="D2641" s="4">
        <v>-30.512509999999999</v>
      </c>
      <c r="E2641" s="4">
        <f>(((((((((-31.2316209/(10/9))+-10.5)+-0.4)*0.98)*1.11)*0.85)-6.5)+3.2)+-0.3)+0.3</f>
        <v>-39.368391269490303</v>
      </c>
      <c r="F2641" s="4">
        <f>((-1.1640924*(1.3/1.5))*0.6)-0.3</f>
        <v>-0.90532804799999989</v>
      </c>
    </row>
    <row r="2642" spans="1:6" x14ac:dyDescent="0.4">
      <c r="A2642" s="4">
        <v>2310.1019999999999</v>
      </c>
      <c r="B2642" s="4">
        <v>1.2751155000000001</v>
      </c>
      <c r="C2642" s="4">
        <v>1.3187948</v>
      </c>
      <c r="D2642" s="4">
        <v>-30.513891999999998</v>
      </c>
      <c r="E2642" s="4">
        <f>(((((((((-31.2513966/(10/9))+-10.5)+-0.4)*0.98)*1.11)*0.85)-6.5)+3.2)+-0.3)+0.3</f>
        <v>-39.384847954432196</v>
      </c>
      <c r="F2642" s="4">
        <f>((-1.1638275*(1.3/1.5))*0.6)-0.3</f>
        <v>-0.90519030000000011</v>
      </c>
    </row>
    <row r="2643" spans="1:6" x14ac:dyDescent="0.4">
      <c r="A2643" s="4">
        <v>2310.9769249999999</v>
      </c>
      <c r="B2643" s="4">
        <v>1.2752079999999999</v>
      </c>
      <c r="C2643" s="4">
        <v>1.3188833</v>
      </c>
      <c r="D2643" s="4">
        <v>-30.515747999999999</v>
      </c>
      <c r="E2643" s="4">
        <f>(((((((((-31.251033/(10/9))+-10.5)+-0.4)*0.98)*1.11)*0.85)-6.5)+3.2)+-0.3)+0.3</f>
        <v>-39.384545378511</v>
      </c>
      <c r="F2643" s="4">
        <f>((-1.1635351*(1.3/1.5))*0.6)-0.3</f>
        <v>-0.90503825199999999</v>
      </c>
    </row>
    <row r="2644" spans="1:6" x14ac:dyDescent="0.4">
      <c r="A2644" s="4">
        <v>2311.85185</v>
      </c>
      <c r="B2644" s="4">
        <v>1.2755205999999999</v>
      </c>
      <c r="C2644" s="4">
        <v>1.3190177999999999</v>
      </c>
      <c r="D2644" s="4">
        <v>-30.517174999999998</v>
      </c>
      <c r="E2644" s="4">
        <f>(((((((((-31.2557841/(10/9))+-10.5)+-0.4)*0.98)*1.11)*0.85)-6.5)+3.2)+-0.3)+0.3</f>
        <v>-39.388499087144694</v>
      </c>
      <c r="F2644" s="4">
        <f>((-1.1632379*(1.3/1.5))*0.6)-0.3</f>
        <v>-0.90488370799999984</v>
      </c>
    </row>
    <row r="2645" spans="1:6" x14ac:dyDescent="0.4">
      <c r="A2645" s="4">
        <v>2312.7267750000001</v>
      </c>
      <c r="B2645" s="4">
        <v>1.2756752</v>
      </c>
      <c r="C2645" s="4">
        <v>1.3194009</v>
      </c>
      <c r="D2645" s="4">
        <v>-30.519266999999999</v>
      </c>
      <c r="E2645" s="4">
        <f>(((((((((-31.2470703/(10/9))+-10.5)+-0.4)*0.98)*1.11)*0.85)-6.5)+3.2)+-0.3)+0.3</f>
        <v>-39.381247750340101</v>
      </c>
      <c r="F2645" s="4">
        <f>((-1.1628754*(1.3/1.5))*0.6)-0.3</f>
        <v>-0.90469520799999992</v>
      </c>
    </row>
    <row r="2646" spans="1:6" x14ac:dyDescent="0.4">
      <c r="A2646" s="4">
        <v>2313.6017000000002</v>
      </c>
      <c r="B2646" s="4">
        <v>1.2761563</v>
      </c>
      <c r="C2646" s="4">
        <v>1.3196300000000001</v>
      </c>
      <c r="D2646" s="4">
        <v>-30.521443999999999</v>
      </c>
      <c r="E2646" s="4">
        <f>(((((((((-31.2492951/(10/9))+-10.5)+-0.4)*0.98)*1.11)*0.85)-6.5)+3.2)+-0.3)+0.3</f>
        <v>-39.383099155481688</v>
      </c>
      <c r="F2646" s="4">
        <f>((-1.1624968*(1.3/1.5))*0.6)-0.3</f>
        <v>-0.90449833599999985</v>
      </c>
    </row>
    <row r="2647" spans="1:6" x14ac:dyDescent="0.4">
      <c r="A2647" s="4">
        <v>2314.4766249999998</v>
      </c>
      <c r="B2647" s="4">
        <v>1.2761235</v>
      </c>
      <c r="C2647" s="4">
        <v>1.3198531</v>
      </c>
      <c r="D2647" s="4">
        <v>-30.523132999999998</v>
      </c>
      <c r="E2647" s="4">
        <f>(((((((((-31.2470676/(10/9))+-10.5)+-0.4)*0.98)*1.11)*0.85)-6.5)+3.2)+-0.3)+0.3</f>
        <v>-39.381245503489197</v>
      </c>
      <c r="F2647" s="4">
        <f>((-1.1620287*(1.3/1.5))*0.6)-0.3</f>
        <v>-0.90425492399999996</v>
      </c>
    </row>
    <row r="2648" spans="1:6" x14ac:dyDescent="0.4">
      <c r="A2648" s="4">
        <v>2315.3515499999999</v>
      </c>
      <c r="B2648" s="4">
        <v>1.2764062</v>
      </c>
      <c r="C2648" s="4">
        <v>1.3201033</v>
      </c>
      <c r="D2648" s="4">
        <v>-30.525335999999999</v>
      </c>
      <c r="E2648" s="4">
        <f>(((((((((-31.2397101/(10/9))+-10.5)+-0.4)*0.98)*1.11)*0.85)-6.5)+3.2)+-0.3)+0.3</f>
        <v>-39.375122834786694</v>
      </c>
      <c r="F2648" s="4">
        <f>((-1.1616099*(1.3/1.5))*0.6)-0.3</f>
        <v>-0.90403714800000001</v>
      </c>
    </row>
    <row r="2649" spans="1:6" x14ac:dyDescent="0.4">
      <c r="A2649" s="4">
        <v>2316.2264749999999</v>
      </c>
      <c r="B2649" s="4">
        <v>1.2764275</v>
      </c>
      <c r="C2649" s="4">
        <v>1.3204876999999999</v>
      </c>
      <c r="D2649" s="4">
        <v>-30.527864000000001</v>
      </c>
      <c r="E2649" s="4">
        <f>(((((((((-31.2456528/(10/9))+-10.5)+-0.4)*0.98)*1.11)*0.85)-6.5)+3.2)+-0.3)+0.3</f>
        <v>-39.380068153617593</v>
      </c>
      <c r="F2649" s="4">
        <f>((-1.1611419*(1.3/1.5))*0.6)-0.3</f>
        <v>-0.90379378799999999</v>
      </c>
    </row>
    <row r="2650" spans="1:6" x14ac:dyDescent="0.4">
      <c r="A2650" s="4">
        <v>2317.1014</v>
      </c>
      <c r="B2650" s="4">
        <v>1.2768316</v>
      </c>
      <c r="C2650" s="4">
        <v>1.3205986999999999</v>
      </c>
      <c r="D2650" s="4">
        <v>-30.53013</v>
      </c>
      <c r="E2650" s="4">
        <f>(((((((((-31.2584274/(10/9))+-10.5)+-0.4)*0.98)*1.11)*0.85)-6.5)+3.2)+-0.3)+0.3</f>
        <v>-39.390698754175801</v>
      </c>
      <c r="F2650" s="4">
        <f>((-1.1606202*(1.3/1.5))*0.6)-0.3</f>
        <v>-0.90352250399999989</v>
      </c>
    </row>
    <row r="2651" spans="1:6" x14ac:dyDescent="0.4">
      <c r="A2651" s="4">
        <v>2317.9763250000001</v>
      </c>
      <c r="B2651" s="4">
        <v>1.2771847999999999</v>
      </c>
      <c r="C2651" s="4">
        <v>1.3209738</v>
      </c>
      <c r="D2651" s="4">
        <v>-30.532160999999999</v>
      </c>
      <c r="E2651" s="4">
        <f>(((((((((-31.2342336/(10/9))+-10.5)+-0.4)*0.98)*1.11)*0.85)-6.5)+3.2)+-0.3)+0.3</f>
        <v>-39.370565472211197</v>
      </c>
      <c r="F2651" s="4">
        <f>((-1.1601202*(1.3/1.5))*0.6)-0.3</f>
        <v>-0.90326250399999997</v>
      </c>
    </row>
    <row r="2652" spans="1:6" x14ac:dyDescent="0.4">
      <c r="A2652" s="4">
        <v>2318.8512500000002</v>
      </c>
      <c r="B2652" s="4">
        <v>1.2775517000000001</v>
      </c>
      <c r="C2652" s="4">
        <v>1.3213142</v>
      </c>
      <c r="D2652" s="4">
        <v>-30.534475999999998</v>
      </c>
      <c r="E2652" s="4">
        <f>(((((((((-31.2531444/(10/9))+-10.5)+-0.4)*0.98)*1.11)*0.85)-6.5)+3.2)+-0.3)+0.3</f>
        <v>-39.386302415914791</v>
      </c>
      <c r="F2652" s="4">
        <f>((-1.159562*(1.3/1.5))*0.6)-0.3</f>
        <v>-0.90297223999999998</v>
      </c>
    </row>
    <row r="2653" spans="1:6" x14ac:dyDescent="0.4">
      <c r="A2653" s="4">
        <v>2319.7261749999998</v>
      </c>
      <c r="B2653" s="4">
        <v>1.2777447</v>
      </c>
      <c r="C2653" s="4">
        <v>1.3214599</v>
      </c>
      <c r="D2653" s="4">
        <v>-30.536871999999999</v>
      </c>
      <c r="E2653" s="4">
        <f>(((((((((-31.2068295/(10/9))+-10.5)+-0.4)*0.98)*1.11)*0.85)-6.5)+3.2)+-0.3)+0.3</f>
        <v>-39.347760684526492</v>
      </c>
      <c r="F2653" s="4">
        <f>((-1.1590314*(1.3/1.5))*0.6)-0.3</f>
        <v>-0.90269632799999999</v>
      </c>
    </row>
    <row r="2654" spans="1:6" x14ac:dyDescent="0.4">
      <c r="A2654" s="4">
        <v>2320.6011000000003</v>
      </c>
      <c r="B2654" s="4">
        <v>1.2780167</v>
      </c>
      <c r="C2654" s="4">
        <v>1.3217177</v>
      </c>
      <c r="D2654" s="4">
        <v>-30.539489</v>
      </c>
      <c r="E2654" s="4">
        <f>(((((((((-31.2168483/(10/9))+-10.5)+-0.4)*0.98)*1.11)*0.85)-6.5)+3.2)+-0.3)+0.3</f>
        <v>-39.356097999266098</v>
      </c>
      <c r="F2654" s="4">
        <f>((-1.1585307*(1.3/1.5))*0.6)-0.3</f>
        <v>-0.90243596399999992</v>
      </c>
    </row>
    <row r="2655" spans="1:6" x14ac:dyDescent="0.4">
      <c r="A2655" s="4">
        <v>2321.4760249999999</v>
      </c>
      <c r="B2655" s="4">
        <v>1.2780210999999999</v>
      </c>
      <c r="C2655" s="4">
        <v>1.3219521000000001</v>
      </c>
      <c r="D2655" s="4">
        <v>-30.542299</v>
      </c>
      <c r="E2655" s="4">
        <f>(((((((((-31.2283359/(10/9))+-10.5)+-0.4)*0.98)*1.11)*0.85)-6.5)+3.2)+-0.3)+0.3</f>
        <v>-39.365657600895297</v>
      </c>
      <c r="F2655" s="4">
        <f>((-1.1579931*(1.3/1.5))*0.6)-0.3</f>
        <v>-0.90215641200000007</v>
      </c>
    </row>
    <row r="2656" spans="1:6" x14ac:dyDescent="0.4">
      <c r="A2656" s="4">
        <v>2322.35095</v>
      </c>
      <c r="B2656" s="4">
        <v>1.2783408000000001</v>
      </c>
      <c r="C2656" s="4">
        <v>1.3224317999999999</v>
      </c>
      <c r="D2656" s="4">
        <v>-30.544908</v>
      </c>
      <c r="E2656" s="4">
        <f>(((((((((-31.2187401/(10/9))+-10.5)+-0.4)*0.98)*1.11)*0.85)-6.5)+3.2)+-0.3)+0.3</f>
        <v>-39.3576722927967</v>
      </c>
      <c r="F2656" s="4">
        <f>((-1.1574193*(1.3/1.5))*0.6)-0.3</f>
        <v>-0.90185803599999992</v>
      </c>
    </row>
    <row r="2657" spans="1:6" x14ac:dyDescent="0.4">
      <c r="A2657" s="4">
        <v>2323.2258750000001</v>
      </c>
      <c r="B2657" s="4">
        <v>1.2787838</v>
      </c>
      <c r="C2657" s="4">
        <v>1.3225431000000001</v>
      </c>
      <c r="D2657" s="4">
        <v>-30.548041999999999</v>
      </c>
      <c r="E2657" s="4">
        <f>(((((((((-31.2246207/(10/9))+-10.5)+-0.4)*0.98)*1.11)*0.85)-6.5)+3.2)+-0.3)+0.3</f>
        <v>-39.362565934056889</v>
      </c>
      <c r="F2657" s="4">
        <f>((-1.1568091*(1.3/1.5))*0.6)-0.3</f>
        <v>-0.90154073199999996</v>
      </c>
    </row>
    <row r="2658" spans="1:6" x14ac:dyDescent="0.4">
      <c r="A2658" s="4">
        <v>2324.1007999999997</v>
      </c>
      <c r="B2658" s="4">
        <v>1.2791954999999999</v>
      </c>
      <c r="C2658" s="4">
        <v>1.3225572000000001</v>
      </c>
      <c r="D2658" s="4">
        <v>-30.550644999999999</v>
      </c>
      <c r="E2658" s="4">
        <f>(((((((((-31.2034068/(10/9))+-10.5)+-0.4)*0.98)*1.11)*0.85)-6.5)+3.2)+-0.3)+0.3</f>
        <v>-39.344912426535593</v>
      </c>
      <c r="F2658" s="4">
        <f>((-1.1561648*(1.3/1.5))*0.6)-0.3</f>
        <v>-0.90120569600000011</v>
      </c>
    </row>
    <row r="2659" spans="1:6" x14ac:dyDescent="0.4">
      <c r="A2659" s="4">
        <v>2324.9757250000002</v>
      </c>
      <c r="B2659" s="4">
        <v>1.2793300999999999</v>
      </c>
      <c r="C2659" s="4">
        <v>1.3230040000000001</v>
      </c>
      <c r="D2659" s="4">
        <v>-30.553521</v>
      </c>
      <c r="E2659" s="4">
        <f>(((((((((-31.1882832/(10/9))+-10.5)+-0.4)*0.98)*1.11)*0.85)-6.5)+3.2)+-0.3)+0.3</f>
        <v>-39.332327065694393</v>
      </c>
      <c r="F2659" s="4">
        <f>((-1.1555387*(1.3/1.5))*0.6)-0.3</f>
        <v>-0.90088012399999995</v>
      </c>
    </row>
    <row r="2660" spans="1:6" x14ac:dyDescent="0.4">
      <c r="A2660" s="4">
        <v>2325.8506499999999</v>
      </c>
      <c r="B2660" s="4">
        <v>1.279425</v>
      </c>
      <c r="C2660" s="4">
        <v>1.3233716</v>
      </c>
      <c r="D2660" s="4">
        <v>-30.556258</v>
      </c>
      <c r="E2660" s="4">
        <f>(((((((((-31.1846859/(10/9))+-10.5)+-0.4)*0.98)*1.11)*0.85)-6.5)+3.2)+-0.3)+0.3</f>
        <v>-39.329333511345297</v>
      </c>
      <c r="F2660" s="4">
        <f>((-1.1549286*(1.3/1.5))*0.6)-0.3</f>
        <v>-0.90056287200000007</v>
      </c>
    </row>
    <row r="2661" spans="1:6" x14ac:dyDescent="0.4">
      <c r="A2661" s="4">
        <v>2326.7255750000004</v>
      </c>
      <c r="B2661" s="4">
        <v>1.2797605999999999</v>
      </c>
      <c r="C2661" s="4">
        <v>1.3234338999999999</v>
      </c>
      <c r="D2661" s="4">
        <v>-30.559408999999999</v>
      </c>
      <c r="E2661" s="4">
        <f>(((((((((-31.190436/(10/9))+-10.5)+-0.4)*0.98)*1.11)*0.85)-6.5)+3.2)+-0.3)+0.3</f>
        <v>-39.334118554811994</v>
      </c>
      <c r="F2661" s="4">
        <f>((-1.1544323*(1.3/1.5))*0.6)-0.3</f>
        <v>-0.90030479599999991</v>
      </c>
    </row>
    <row r="2662" spans="1:6" x14ac:dyDescent="0.4">
      <c r="A2662" s="4">
        <v>2327.6005</v>
      </c>
      <c r="B2662" s="4">
        <v>1.2800659000000001</v>
      </c>
      <c r="C2662" s="4">
        <v>1.323993</v>
      </c>
      <c r="D2662" s="4">
        <v>-30.562363999999999</v>
      </c>
      <c r="E2662" s="4">
        <f>(((((((((-31.1927841/(10/9))+-10.5)+-0.4)*0.98)*1.11)*0.85)-6.5)+3.2)+-0.3)+0.3</f>
        <v>-39.336072566144701</v>
      </c>
      <c r="F2662" s="4">
        <f>((-1.1539311*(1.3/1.5))*0.6)-0.3</f>
        <v>-0.90004417200000009</v>
      </c>
    </row>
    <row r="2663" spans="1:6" x14ac:dyDescent="0.4">
      <c r="A2663" s="4">
        <v>2328.4754249999996</v>
      </c>
      <c r="B2663" s="4">
        <v>1.2803971999999999</v>
      </c>
      <c r="C2663" s="4">
        <v>1.3239746999999999</v>
      </c>
      <c r="D2663" s="4">
        <v>-30.565279999999998</v>
      </c>
      <c r="E2663" s="4">
        <f>(((((((((-31.1981778/(10/9))+-10.5)+-0.4)*0.98)*1.11)*0.85)-6.5)+3.2)+-0.3)+0.3</f>
        <v>-39.340561025292594</v>
      </c>
      <c r="F2663" s="4">
        <f>((-1.1534171*(1.3/1.5))*0.6)-0.3</f>
        <v>-0.89977689199999999</v>
      </c>
    </row>
    <row r="2664" spans="1:6" x14ac:dyDescent="0.4">
      <c r="A2664" s="4">
        <v>2329.3503500000002</v>
      </c>
      <c r="B2664" s="4">
        <v>1.2806586</v>
      </c>
      <c r="C2664" s="4">
        <v>1.3242879999999999</v>
      </c>
      <c r="D2664" s="4">
        <v>-30.567895</v>
      </c>
      <c r="E2664" s="4">
        <f>(((((((((-31.1768307/(10/9))+-10.5)+-0.4)*0.98)*1.11)*0.85)-6.5)+3.2)+-0.3)+0.3</f>
        <v>-39.322796673126895</v>
      </c>
      <c r="F2664" s="4">
        <f>((-1.1528927*(1.3/1.5))*0.6)-0.3</f>
        <v>-0.89950420400000008</v>
      </c>
    </row>
    <row r="2665" spans="1:6" x14ac:dyDescent="0.4">
      <c r="A2665" s="4">
        <v>2330.2252749999998</v>
      </c>
      <c r="B2665" s="4">
        <v>1.2808918</v>
      </c>
      <c r="C2665" s="4">
        <v>1.3246732999999999</v>
      </c>
      <c r="D2665" s="4">
        <v>-30.570764</v>
      </c>
      <c r="E2665" s="4">
        <f>(((((((((-31.1686146/(10/9))+-10.5)+-0.4)*0.98)*1.11)*0.85)-6.5)+3.2)+-0.3)+0.3</f>
        <v>-39.315959505838201</v>
      </c>
      <c r="F2665" s="4">
        <f>((-1.1523551*(1.3/1.5))*0.6)-0.3</f>
        <v>-0.89922465200000001</v>
      </c>
    </row>
    <row r="2666" spans="1:6" x14ac:dyDescent="0.4">
      <c r="A2666" s="4">
        <v>2331.1002000000003</v>
      </c>
      <c r="B2666" s="4">
        <v>1.2811583</v>
      </c>
      <c r="C2666" s="4">
        <v>1.3249664000000001</v>
      </c>
      <c r="D2666" s="4">
        <v>-30.573646</v>
      </c>
      <c r="E2666" s="4">
        <f>(((((((((-31.1656518/(10/9))+-10.5)+-0.4)*0.98)*1.11)*0.85)-6.5)+3.2)+-0.3)+0.3</f>
        <v>-39.313493961450597</v>
      </c>
      <c r="F2666" s="4">
        <f>((-1.1518365*(1.3/1.5))*0.6)-0.3</f>
        <v>-0.89895497999999985</v>
      </c>
    </row>
    <row r="2667" spans="1:6" x14ac:dyDescent="0.4">
      <c r="A2667" s="4">
        <v>2331.9751249999999</v>
      </c>
      <c r="B2667" s="4">
        <v>1.2814158</v>
      </c>
      <c r="C2667" s="4">
        <v>1.3251436000000001</v>
      </c>
      <c r="D2667" s="4">
        <v>-30.576817999999999</v>
      </c>
      <c r="E2667" s="4">
        <f>(((((((((-31.1755734/(10/9))+-10.5)+-0.4)*0.98)*1.11)*0.85)-6.5)+3.2)+-0.3)+0.3</f>
        <v>-39.321750389557799</v>
      </c>
      <c r="F2667" s="4">
        <f>((-1.1513277*(1.3/1.5))*0.6)-0.3</f>
        <v>-0.89869040399999989</v>
      </c>
    </row>
    <row r="2668" spans="1:6" x14ac:dyDescent="0.4">
      <c r="A2668" s="4">
        <v>2332.85005</v>
      </c>
      <c r="B2668" s="4">
        <v>1.2816497</v>
      </c>
      <c r="C2668" s="4">
        <v>1.3254712</v>
      </c>
      <c r="D2668" s="4">
        <v>-30.579812</v>
      </c>
      <c r="E2668" s="4">
        <f>(((((((((-31.1803974/(10/9))+-10.5)+-0.4)*0.98)*1.11)*0.85)-6.5)+3.2)+-0.3)+0.3</f>
        <v>-39.3257647631658</v>
      </c>
      <c r="F2668" s="4">
        <f>((-1.1508658*(1.3/1.5))*0.6)-0.3</f>
        <v>-0.89845021600000008</v>
      </c>
    </row>
    <row r="2669" spans="1:6" x14ac:dyDescent="0.4">
      <c r="A2669" s="4">
        <v>2333.7249750000001</v>
      </c>
      <c r="B2669" s="4">
        <v>1.2820229999999999</v>
      </c>
      <c r="C2669" s="4">
        <v>1.3255383999999999</v>
      </c>
      <c r="D2669" s="4">
        <v>-30.583203999999999</v>
      </c>
      <c r="E2669" s="4">
        <f>(((((((((-31.1486643/(10/9))+-10.5)+-0.4)*0.98)*1.11)*0.85)-6.5)+3.2)+-0.3)+0.3</f>
        <v>-39.299357524538095</v>
      </c>
      <c r="F2669" s="4">
        <f>((-1.1504893*(1.3/1.5))*0.6)-0.3</f>
        <v>-0.89825443599999999</v>
      </c>
    </row>
    <row r="2670" spans="1:6" x14ac:dyDescent="0.4">
      <c r="A2670" s="4">
        <v>2334.5998999999997</v>
      </c>
      <c r="B2670" s="4">
        <v>1.2823652999999999</v>
      </c>
      <c r="C2670" s="4">
        <v>1.3255849</v>
      </c>
      <c r="D2670" s="4">
        <v>-30.586175000000001</v>
      </c>
      <c r="E2670" s="4">
        <f>(((((((((-31.1614974/(10/9))+-10.5)+-0.4)*0.98)*1.11)*0.85)-6.5)+3.2)+-0.3)+0.3</f>
        <v>-39.310036806865796</v>
      </c>
      <c r="F2670" s="4">
        <f>((-1.1501279*(1.3/1.5))*0.6)-0.3</f>
        <v>-0.89806650799999987</v>
      </c>
    </row>
    <row r="2671" spans="1:6" x14ac:dyDescent="0.4">
      <c r="A2671" s="4">
        <v>2335.4748250000002</v>
      </c>
      <c r="B2671" s="4">
        <v>1.2823293</v>
      </c>
      <c r="C2671" s="4">
        <v>1.3257437999999999</v>
      </c>
      <c r="D2671" s="4">
        <v>-30.589112</v>
      </c>
      <c r="E2671" s="4">
        <f>(((((((((-31.1644845/(10/9))+-10.5)+-0.4)*0.98)*1.11)*0.85)-6.5)+3.2)+-0.3)+0.3</f>
        <v>-39.312522572911504</v>
      </c>
      <c r="F2671" s="4">
        <f>((-1.149677*(1.3/1.5))*0.6)-0.3</f>
        <v>-0.89783203999999994</v>
      </c>
    </row>
    <row r="2672" spans="1:6" x14ac:dyDescent="0.4">
      <c r="A2672" s="4">
        <v>2336.3497499999999</v>
      </c>
      <c r="B2672" s="4">
        <v>1.2827261999999999</v>
      </c>
      <c r="C2672" s="4">
        <v>1.326077</v>
      </c>
      <c r="D2672" s="4">
        <v>-30.591816999999999</v>
      </c>
      <c r="E2672" s="4">
        <f>(((((((((-31.1509917/(10/9))+-10.5)+-0.4)*0.98)*1.11)*0.85)-6.5)+3.2)+-0.3)+0.3</f>
        <v>-39.301294310013894</v>
      </c>
      <c r="F2672" s="4">
        <f>((-1.1492939*(1.3/1.5))*0.6)-0.3</f>
        <v>-0.8976328280000001</v>
      </c>
    </row>
    <row r="2673" spans="1:6" x14ac:dyDescent="0.4">
      <c r="A2673" s="4">
        <v>2337.2246749999999</v>
      </c>
      <c r="B2673" s="4">
        <v>1.2828516000000001</v>
      </c>
      <c r="C2673" s="4">
        <v>1.3264442999999999</v>
      </c>
      <c r="D2673" s="4">
        <v>-30.595254000000001</v>
      </c>
      <c r="E2673" s="4">
        <f>(((((((((-31.1385123/(10/9))+-10.5)+-0.4)*0.98)*1.11)*0.85)-6.5)+3.2)+-0.3)+0.3</f>
        <v>-39.290909365154093</v>
      </c>
      <c r="F2673" s="4">
        <f>((-1.1489646*(1.3/1.5))*0.6)-0.3</f>
        <v>-0.89746159199999997</v>
      </c>
    </row>
    <row r="2674" spans="1:6" x14ac:dyDescent="0.4">
      <c r="A2674" s="4">
        <v>2338.0996</v>
      </c>
      <c r="B2674" s="4">
        <v>1.2833188</v>
      </c>
      <c r="C2674" s="4">
        <v>1.3268625000000001</v>
      </c>
      <c r="D2674" s="4">
        <v>-30.598261999999998</v>
      </c>
      <c r="E2674" s="4">
        <f>(((((((((-31.1502636/(10/9))+-10.5)+-0.4)*0.98)*1.11)*0.85)-6.5)+3.2)+-0.3)+0.3</f>
        <v>-39.300688409221195</v>
      </c>
      <c r="F2674" s="4">
        <f>((-1.1487104*(1.3/1.5))*0.6)-0.3</f>
        <v>-0.89732940800000005</v>
      </c>
    </row>
    <row r="2675" spans="1:6" x14ac:dyDescent="0.4">
      <c r="A2675" s="4">
        <v>2338.9745250000001</v>
      </c>
      <c r="B2675" s="4">
        <v>1.2834152000000001</v>
      </c>
      <c r="C2675" s="4">
        <v>1.3271227999999999</v>
      </c>
      <c r="D2675" s="4">
        <v>-30.601248999999999</v>
      </c>
      <c r="E2675" s="4">
        <f>(((((((((-31.1481252/(10/9))+-10.5)+-0.4)*0.98)*1.11)*0.85)-6.5)+3.2)+-0.3)+0.3</f>
        <v>-39.298908903308387</v>
      </c>
      <c r="F2675" s="4">
        <f>((-1.1484349*(1.3/1.5))*0.6)-0.3</f>
        <v>-0.89718614800000007</v>
      </c>
    </row>
    <row r="2676" spans="1:6" x14ac:dyDescent="0.4">
      <c r="A2676" s="4">
        <v>2339.8494500000002</v>
      </c>
      <c r="B2676" s="4">
        <v>1.2838426000000001</v>
      </c>
      <c r="C2676" s="4">
        <v>1.3272870999999999</v>
      </c>
      <c r="D2676" s="4">
        <v>-30.604658999999998</v>
      </c>
      <c r="E2676" s="4">
        <f>(((((((((-31.12686/(10/9))+-10.5)+-0.4)*0.98)*1.11)*0.85)-6.5)+3.2)+-0.3)+0.3</f>
        <v>-39.281212705619993</v>
      </c>
      <c r="F2676" s="4">
        <f>((-1.1482182*(1.3/1.5))*0.6)-0.3</f>
        <v>-0.89707346399999999</v>
      </c>
    </row>
    <row r="2677" spans="1:6" x14ac:dyDescent="0.4">
      <c r="A2677" s="4">
        <v>2340.7243749999998</v>
      </c>
      <c r="B2677" s="4">
        <v>1.284224</v>
      </c>
      <c r="C2677" s="4">
        <v>1.3277053999999999</v>
      </c>
      <c r="D2677" s="4">
        <v>-30.608194999999998</v>
      </c>
      <c r="E2677" s="4">
        <f>(((((((((-31.1179914/(10/9))+-10.5)+-0.4)*0.98)*1.11)*0.85)-6.5)+3.2)+-0.3)+0.3</f>
        <v>-39.273832549363803</v>
      </c>
      <c r="F2677" s="4">
        <f>((-1.148115*(1.3/1.5))*0.6)-0.3</f>
        <v>-0.89701980000000003</v>
      </c>
    </row>
    <row r="2678" spans="1:6" x14ac:dyDescent="0.4">
      <c r="A2678" s="4">
        <v>2341.5992999999999</v>
      </c>
      <c r="B2678" s="4">
        <v>1.2845371000000001</v>
      </c>
      <c r="C2678" s="4">
        <v>1.328114</v>
      </c>
      <c r="D2678" s="4">
        <v>-30.611052999999998</v>
      </c>
      <c r="E2678" s="4">
        <f>(((((((((-31.111668/(10/9))+-10.5)+-0.4)*0.98)*1.11)*0.85)-6.5)+3.2)+-0.3)+0.3</f>
        <v>-39.268570424555996</v>
      </c>
      <c r="F2678" s="4">
        <f>((-1.1480418*(1.3/1.5))*0.6)-0.3</f>
        <v>-0.89698173599999986</v>
      </c>
    </row>
    <row r="2679" spans="1:6" x14ac:dyDescent="0.4">
      <c r="A2679" s="4">
        <v>2342.4742249999999</v>
      </c>
      <c r="B2679" s="4">
        <v>1.2848972000000001</v>
      </c>
      <c r="C2679" s="4">
        <v>1.3282560000000001</v>
      </c>
      <c r="D2679" s="4">
        <v>-30.614287999999998</v>
      </c>
      <c r="E2679" s="4">
        <f>(((((((((-31.1500854/(10/9))+-10.5)+-0.4)*0.98)*1.11)*0.85)-6.5)+3.2)+-0.3)+0.3</f>
        <v>-39.300540117061793</v>
      </c>
      <c r="F2679" s="4">
        <f>((-1.1479157*(1.3/1.5))*0.6)-0.3</f>
        <v>-0.89691616400000007</v>
      </c>
    </row>
    <row r="2680" spans="1:6" x14ac:dyDescent="0.4">
      <c r="A2680" s="4">
        <v>2343.34915</v>
      </c>
      <c r="B2680" s="4">
        <v>1.2848923000000001</v>
      </c>
      <c r="C2680" s="4">
        <v>1.3284415000000001</v>
      </c>
      <c r="D2680" s="4">
        <v>-30.617235999999998</v>
      </c>
      <c r="E2680" s="4">
        <f>(((((((((-31.1242851/(10/9))+-10.5)+-0.4)*0.98)*1.11)*0.85)-6.5)+3.2)+-0.3)+0.3</f>
        <v>-39.279069958811704</v>
      </c>
      <c r="F2680" s="4">
        <f>((-1.1477236*(1.3/1.5))*0.6)-0.3</f>
        <v>-0.89681627199999991</v>
      </c>
    </row>
    <row r="2681" spans="1:6" x14ac:dyDescent="0.4">
      <c r="A2681" s="4">
        <v>2344.2240750000001</v>
      </c>
      <c r="B2681" s="4">
        <v>1.2851668999999999</v>
      </c>
      <c r="C2681" s="4">
        <v>1.3287933999999999</v>
      </c>
      <c r="D2681" s="4">
        <v>-30.620282</v>
      </c>
      <c r="E2681" s="4">
        <f>(((((((((-31.0959198/(10/9))+-10.5)+-0.4)*0.98)*1.11)*0.85)-6.5)+3.2)+-0.3)+0.3</f>
        <v>-39.255465292206601</v>
      </c>
      <c r="F2681" s="4">
        <f>((-1.1475748*(1.3/1.5))*0.6)-0.3</f>
        <v>-0.89673889600000001</v>
      </c>
    </row>
    <row r="2682" spans="1:6" x14ac:dyDescent="0.4">
      <c r="A2682" s="4">
        <v>2345.0990000000002</v>
      </c>
      <c r="B2682" s="4">
        <v>1.2855911</v>
      </c>
      <c r="C2682" s="4">
        <v>1.3291245</v>
      </c>
      <c r="D2682" s="4">
        <v>-30.623307</v>
      </c>
      <c r="E2682" s="4">
        <f>(((((((((-31.0998096/(10/9))+-10.5)+-0.4)*0.98)*1.11)*0.85)-6.5)+3.2)+-0.3)+0.3</f>
        <v>-39.2587022554032</v>
      </c>
      <c r="F2682" s="4">
        <f>((-1.1474308*(1.3/1.5))*0.6)-0.3</f>
        <v>-0.8966640159999999</v>
      </c>
    </row>
    <row r="2683" spans="1:6" x14ac:dyDescent="0.4">
      <c r="A2683" s="4">
        <v>2345.9739249999998</v>
      </c>
      <c r="B2683" s="4">
        <v>1.2859377000000001</v>
      </c>
      <c r="C2683" s="4">
        <v>1.3295771999999999</v>
      </c>
      <c r="D2683" s="4">
        <v>-30.626166999999999</v>
      </c>
      <c r="E2683" s="4">
        <f>(((((((((-31.0948074/(10/9))+-10.5)+-0.4)*0.98)*1.11)*0.85)-6.5)+3.2)+-0.3)+0.3</f>
        <v>-39.25453958963579</v>
      </c>
      <c r="F2683" s="4">
        <f>((-1.1473186*(1.3/1.5))*0.6)-0.3</f>
        <v>-0.89660567199999996</v>
      </c>
    </row>
    <row r="2684" spans="1:6" x14ac:dyDescent="0.4">
      <c r="A2684" s="4">
        <v>2346.8488500000003</v>
      </c>
      <c r="B2684" s="4">
        <v>1.2860326</v>
      </c>
      <c r="C2684" s="4">
        <v>1.3296589000000001</v>
      </c>
      <c r="D2684" s="4">
        <v>-30.628885</v>
      </c>
      <c r="E2684" s="4">
        <f>(((((((((-31.1135319/(10/9))+-10.5)+-0.4)*0.98)*1.11)*0.85)-6.5)+3.2)+-0.3)+0.3</f>
        <v>-39.270121500627297</v>
      </c>
      <c r="F2684" s="4">
        <f>((-1.1472733*(1.3/1.5))*0.6)-0.3</f>
        <v>-0.89658211600000004</v>
      </c>
    </row>
    <row r="2685" spans="1:6" x14ac:dyDescent="0.4">
      <c r="A2685" s="4">
        <v>2347.7237749999999</v>
      </c>
      <c r="B2685" s="4">
        <v>1.2860942</v>
      </c>
      <c r="C2685" s="4">
        <v>1.3297806999999999</v>
      </c>
      <c r="D2685" s="4">
        <v>-30.631622</v>
      </c>
      <c r="E2685" s="4">
        <f>(((((((((-31.0804695/(10/9))+-10.5)+-0.4)*0.98)*1.11)*0.85)-6.5)+3.2)+-0.3)+0.3</f>
        <v>-39.242608062406497</v>
      </c>
      <c r="F2685" s="4">
        <f>((-1.1472095*(1.3/1.5))*0.6)-0.3</f>
        <v>-0.89654893999999996</v>
      </c>
    </row>
    <row r="2686" spans="1:6" x14ac:dyDescent="0.4">
      <c r="A2686" s="4">
        <v>2348.5987</v>
      </c>
      <c r="B2686" s="4">
        <v>1.2864795</v>
      </c>
      <c r="C2686" s="4">
        <v>1.3302969</v>
      </c>
      <c r="D2686" s="4">
        <v>-30.634238</v>
      </c>
      <c r="E2686" s="4">
        <f>(((((((((-31.1096385/(10/9))+-10.5)+-0.4)*0.98)*1.11)*0.85)-6.5)+3.2)+-0.3)+0.3</f>
        <v>-39.266881541629495</v>
      </c>
      <c r="F2686" s="4">
        <f>((-1.147264*(1.3/1.5))*0.6)-0.3</f>
        <v>-0.89657728000000003</v>
      </c>
    </row>
    <row r="2687" spans="1:6" x14ac:dyDescent="0.4">
      <c r="A2687" s="4">
        <v>2349.4736250000001</v>
      </c>
      <c r="B2687" s="4">
        <v>1.2869402000000001</v>
      </c>
      <c r="C2687" s="4">
        <v>1.3305608</v>
      </c>
      <c r="D2687" s="4">
        <v>-30.637011999999999</v>
      </c>
      <c r="E2687" s="4">
        <f>(((((((((-31.0644612/(10/9))+-10.5)+-0.4)*0.98)*1.11)*0.85)-6.5)+3.2)+-0.3)+0.3</f>
        <v>-39.229286483420395</v>
      </c>
      <c r="F2687" s="4">
        <f>((-1.1473835*(1.3/1.5))*0.6)-0.3</f>
        <v>-0.89663941999999985</v>
      </c>
    </row>
    <row r="2688" spans="1:6" x14ac:dyDescent="0.4">
      <c r="A2688" s="4">
        <v>2350.3485499999997</v>
      </c>
      <c r="B2688" s="4">
        <v>1.2872485</v>
      </c>
      <c r="C2688" s="4">
        <v>1.3309712</v>
      </c>
      <c r="D2688" s="4">
        <v>-30.639717999999998</v>
      </c>
      <c r="E2688" s="4">
        <f>(((((((((-31.0637673/(10/9))+-10.5)+-0.4)*0.98)*1.11)*0.85)-6.5)+3.2)+-0.3)+0.3</f>
        <v>-39.228709042739098</v>
      </c>
      <c r="F2688" s="4">
        <f>((-1.147494*(1.3/1.5))*0.6)-0.3</f>
        <v>-0.89669687999999992</v>
      </c>
    </row>
    <row r="2689" spans="1:6" x14ac:dyDescent="0.4">
      <c r="A2689" s="4">
        <v>2351.2234750000002</v>
      </c>
      <c r="B2689" s="4">
        <v>1.2877097</v>
      </c>
      <c r="C2689" s="4">
        <v>1.3311930000000001</v>
      </c>
      <c r="D2689" s="4">
        <v>-30.642208999999998</v>
      </c>
      <c r="E2689" s="4">
        <f>(((((((((-31.09113/(10/9))+-10.5)+-0.4)*0.98)*1.11)*0.85)-6.5)+3.2)+-0.3)+0.3</f>
        <v>-39.251479378710002</v>
      </c>
      <c r="F2689" s="4">
        <f>((-1.147642*(1.3/1.5))*0.6)-0.3</f>
        <v>-0.89677384000000004</v>
      </c>
    </row>
    <row r="2690" spans="1:6" x14ac:dyDescent="0.4">
      <c r="A2690" s="4">
        <v>2352.0983999999999</v>
      </c>
      <c r="B2690" s="4">
        <v>1.2877451</v>
      </c>
      <c r="C2690" s="4">
        <v>1.3313212000000001</v>
      </c>
      <c r="D2690" s="4">
        <v>-30.644904</v>
      </c>
      <c r="E2690" s="4">
        <f>(((((((((-31.0623939/(10/9))+-10.5)+-0.4)*0.98)*1.11)*0.85)-6.5)+3.2)+-0.3)+0.3</f>
        <v>-39.227566144581296</v>
      </c>
      <c r="F2690" s="4">
        <f>((-1.147845*(1.3/1.5))*0.6)-0.3</f>
        <v>-0.89687939999999999</v>
      </c>
    </row>
    <row r="2691" spans="1:6" x14ac:dyDescent="0.4">
      <c r="A2691" s="4">
        <v>2352.9733250000004</v>
      </c>
      <c r="B2691" s="4">
        <v>1.2879094</v>
      </c>
      <c r="C2691" s="4">
        <v>1.3314402999999999</v>
      </c>
      <c r="D2691" s="4">
        <v>-30.647293999999999</v>
      </c>
      <c r="E2691" s="4">
        <f>(((((((((-31.0653774/(10/9))+-10.5)+-0.4)*0.98)*1.11)*0.85)-6.5)+3.2)+-0.3)+0.3</f>
        <v>-39.230048914825801</v>
      </c>
      <c r="F2691" s="4">
        <f>((-1.1479852*(1.3/1.5))*0.6)-0.3</f>
        <v>-0.89695230400000003</v>
      </c>
    </row>
    <row r="2692" spans="1:6" x14ac:dyDescent="0.4">
      <c r="A2692" s="4">
        <v>2353.84825</v>
      </c>
      <c r="B2692" s="4">
        <v>1.2883260000000001</v>
      </c>
      <c r="C2692" s="4">
        <v>1.3317235999999999</v>
      </c>
      <c r="D2692" s="4">
        <v>-30.649861999999999</v>
      </c>
      <c r="E2692" s="4">
        <f>(((((((((-31.0794399/(10/9))+-10.5)+-0.4)*0.98)*1.11)*0.85)-6.5)+3.2)+-0.3)+0.3</f>
        <v>-39.241751263263303</v>
      </c>
      <c r="F2692" s="4">
        <f>((-1.1480873*(1.3/1.5))*0.6)-0.3</f>
        <v>-0.89700539599999995</v>
      </c>
    </row>
    <row r="2693" spans="1:6" x14ac:dyDescent="0.4">
      <c r="A2693" s="4">
        <v>2354.7231749999996</v>
      </c>
      <c r="B2693" s="4">
        <v>1.2886725999999999</v>
      </c>
      <c r="C2693" s="4">
        <v>1.3321447</v>
      </c>
      <c r="D2693" s="4">
        <v>-30.652401999999999</v>
      </c>
      <c r="E2693" s="4">
        <f>(((((((((-31.0620915/(10/9))+-10.5)+-0.4)*0.98)*1.11)*0.85)-6.5)+3.2)+-0.3)+0.3</f>
        <v>-39.227314497280503</v>
      </c>
      <c r="F2693" s="4">
        <f>((-1.1482946*(1.3/1.5))*0.6)-0.3</f>
        <v>-0.89711319199999995</v>
      </c>
    </row>
    <row r="2694" spans="1:6" x14ac:dyDescent="0.4">
      <c r="A2694" s="4">
        <v>2355.5981000000002</v>
      </c>
      <c r="B2694" s="4">
        <v>1.2890623000000001</v>
      </c>
      <c r="C2694" s="4">
        <v>1.3323666000000001</v>
      </c>
      <c r="D2694" s="4">
        <v>-30.654809</v>
      </c>
      <c r="E2694" s="4">
        <f>(((((((((-31.0860045/(10/9))+-10.5)+-0.4)*0.98)*1.11)*0.85)-6.5)+3.2)+-0.3)+0.3</f>
        <v>-39.247214106751507</v>
      </c>
      <c r="F2694" s="4">
        <f>((-1.1484673*(1.3/1.5))*0.6)-0.3</f>
        <v>-0.89720299600000009</v>
      </c>
    </row>
    <row r="2695" spans="1:6" x14ac:dyDescent="0.4">
      <c r="A2695" s="4">
        <v>2356.4730249999998</v>
      </c>
      <c r="B2695" s="4">
        <v>1.2891831</v>
      </c>
      <c r="C2695" s="4">
        <v>1.3325087</v>
      </c>
      <c r="D2695" s="4">
        <v>-30.656963999999999</v>
      </c>
      <c r="E2695" s="4">
        <f>(((((((((-31.0641687/(10/9))+-10.5)+-0.4)*0.98)*1.11)*0.85)-6.5)+3.2)+-0.3)+0.3</f>
        <v>-39.2290430745729</v>
      </c>
      <c r="F2695" s="4">
        <f>((-1.1485965*(1.3/1.5))*0.6)-0.3</f>
        <v>-0.89727018000000003</v>
      </c>
    </row>
    <row r="2696" spans="1:6" x14ac:dyDescent="0.4">
      <c r="A2696" s="4">
        <v>2357.3479500000003</v>
      </c>
      <c r="B2696" s="4">
        <v>1.2894601999999999</v>
      </c>
      <c r="C2696" s="4">
        <v>1.3329952</v>
      </c>
      <c r="D2696" s="4">
        <v>-30.659244000000001</v>
      </c>
      <c r="E2696" s="4">
        <f>(((((((((-31.0545252/(10/9))+-10.5)+-0.4)*0.98)*1.11)*0.85)-6.5)+3.2)+-0.3)+0.3</f>
        <v>-39.2210180721084</v>
      </c>
      <c r="F2696" s="4">
        <f>((-1.1487799*(1.3/1.5))*0.6)-0.3</f>
        <v>-0.89736554800000001</v>
      </c>
    </row>
    <row r="2697" spans="1:6" x14ac:dyDescent="0.4">
      <c r="A2697" s="4">
        <v>2358.2228749999999</v>
      </c>
      <c r="B2697" s="4">
        <v>1.2899406</v>
      </c>
      <c r="C2697" s="4">
        <v>1.3332759000000001</v>
      </c>
      <c r="D2697" s="4">
        <v>-30.661286999999998</v>
      </c>
      <c r="E2697" s="4">
        <f>(((((((((-31.08825/(10/9))+-10.5)+-0.4)*0.98)*1.11)*0.85)-6.5)+3.2)+-0.3)+0.3</f>
        <v>-39.249082737749994</v>
      </c>
      <c r="F2697" s="4">
        <f>((-1.148935*(1.3/1.5))*0.6)-0.3</f>
        <v>-0.89744620000000008</v>
      </c>
    </row>
    <row r="2698" spans="1:6" x14ac:dyDescent="0.4">
      <c r="A2698" s="4">
        <v>2359.0978</v>
      </c>
      <c r="B2698" s="4">
        <v>1.2903112000000001</v>
      </c>
      <c r="C2698" s="4">
        <v>1.3336984000000001</v>
      </c>
      <c r="D2698" s="4">
        <v>-30.663267999999999</v>
      </c>
      <c r="E2698" s="4">
        <f>(((((((((-31.0593483/(10/9))+-10.5)+-0.4)*0.98)*1.11)*0.85)-6.5)+3.2)+-0.3)+0.3</f>
        <v>-39.225031696766102</v>
      </c>
      <c r="F2698" s="4">
        <f>((-1.1491599*(1.3/1.5))*0.6)-0.3</f>
        <v>-0.89756314799999992</v>
      </c>
    </row>
    <row r="2699" spans="1:6" x14ac:dyDescent="0.4">
      <c r="A2699" s="4">
        <v>2359.9727250000001</v>
      </c>
      <c r="B2699" s="4">
        <v>1.290675</v>
      </c>
      <c r="C2699" s="4">
        <v>1.3339673999999999</v>
      </c>
      <c r="D2699" s="4">
        <v>-30.665488</v>
      </c>
      <c r="E2699" s="4">
        <f>(((((((((-31.0520322/(10/9))+-10.5)+-0.4)*0.98)*1.11)*0.85)-6.5)+3.2)+-0.3)+0.3</f>
        <v>-39.218943479777401</v>
      </c>
      <c r="F2699" s="4">
        <f>((-1.1494802*(1.3/1.5))*0.6)-0.3</f>
        <v>-0.89772970400000007</v>
      </c>
    </row>
    <row r="2700" spans="1:6" x14ac:dyDescent="0.4">
      <c r="A2700" s="4">
        <v>2360.8476499999997</v>
      </c>
      <c r="B2700" s="4">
        <v>1.2908012</v>
      </c>
      <c r="C2700" s="4">
        <v>1.3339342000000001</v>
      </c>
      <c r="D2700" s="4">
        <v>-30.667793</v>
      </c>
      <c r="E2700" s="4">
        <f>(((((((((-31.0577283/(10/9))+-10.5)+-0.4)*0.98)*1.11)*0.85)-6.5)+3.2)+-0.3)+0.3</f>
        <v>-39.223683586226102</v>
      </c>
      <c r="F2700" s="4">
        <f>((-1.1497917*(1.3/1.5))*0.6)-0.3</f>
        <v>-0.89789168399999997</v>
      </c>
    </row>
    <row r="2701" spans="1:6" x14ac:dyDescent="0.4">
      <c r="A2701" s="4">
        <v>2361.7225750000002</v>
      </c>
      <c r="B2701" s="4">
        <v>1.2911151999999999</v>
      </c>
      <c r="C2701" s="4">
        <v>1.3344104999999999</v>
      </c>
      <c r="D2701" s="4">
        <v>-30.669737999999999</v>
      </c>
      <c r="E2701" s="4">
        <f>(((((((((-31.048002/(10/9))+-10.5)+-0.4)*0.98)*1.11)*0.85)-6.5)+3.2)+-0.3)+0.3</f>
        <v>-39.215589680333999</v>
      </c>
      <c r="F2701" s="4">
        <f>((-1.1500238*(1.3/1.5))*0.6)-0.3</f>
        <v>-0.89801237600000006</v>
      </c>
    </row>
    <row r="2702" spans="1:6" x14ac:dyDescent="0.4">
      <c r="A2702" s="4">
        <v>2362.5974999999999</v>
      </c>
      <c r="B2702" s="4">
        <v>1.2911739</v>
      </c>
      <c r="C2702" s="4">
        <v>1.3344332000000001</v>
      </c>
      <c r="D2702" s="4">
        <v>-30.67146</v>
      </c>
      <c r="E2702" s="4">
        <f>(((((((((-31.0252878/(10/9))+-10.5)+-0.4)*0.98)*1.11)*0.85)-6.5)+3.2)+-0.3)+0.3</f>
        <v>-39.196687672662598</v>
      </c>
      <c r="F2702" s="4">
        <f>((-1.150209*(1.3/1.5))*0.6)-0.3</f>
        <v>-0.89810867999999999</v>
      </c>
    </row>
    <row r="2703" spans="1:6" x14ac:dyDescent="0.4">
      <c r="A2703" s="4">
        <v>2363.4724249999999</v>
      </c>
      <c r="B2703" s="4">
        <v>1.2916063</v>
      </c>
      <c r="C2703" s="4">
        <v>1.3349674</v>
      </c>
      <c r="D2703" s="4">
        <v>-30.672810999999999</v>
      </c>
      <c r="E2703" s="4">
        <f>(((((((((-31.0367889/(10/9))+-10.5)+-0.4)*0.98)*1.11)*0.85)-6.5)+3.2)+-0.3)+0.3</f>
        <v>-39.206258508546298</v>
      </c>
      <c r="F2703" s="4">
        <f>((-1.150437*(1.3/1.5))*0.6)-0.3</f>
        <v>-0.89822723999999998</v>
      </c>
    </row>
    <row r="2704" spans="1:6" x14ac:dyDescent="0.4">
      <c r="A2704" s="4">
        <v>2364.34735</v>
      </c>
      <c r="B2704" s="4">
        <v>1.2916909000000001</v>
      </c>
      <c r="C2704" s="4">
        <v>1.33497</v>
      </c>
      <c r="D2704" s="4">
        <v>-30.675156999999999</v>
      </c>
      <c r="E2704" s="4">
        <f>(((((((((-31.0157568/(10/9))+-10.5)+-0.4)*0.98)*1.11)*0.85)-6.5)+3.2)+-0.3)+0.3</f>
        <v>-39.188756288985594</v>
      </c>
      <c r="F2704" s="4">
        <f>((-1.1506895*(1.3/1.5))*0.6)-0.3</f>
        <v>-0.89835853999999982</v>
      </c>
    </row>
    <row r="2705" spans="1:6" x14ac:dyDescent="0.4">
      <c r="A2705" s="4">
        <v>2365.2222750000001</v>
      </c>
      <c r="B2705" s="4">
        <v>1.2920874</v>
      </c>
      <c r="C2705" s="4">
        <v>1.33514</v>
      </c>
      <c r="D2705" s="4">
        <v>-30.677227999999999</v>
      </c>
      <c r="E2705" s="4">
        <f>(((((((((-31.040226/(10/9))+-10.5)+-0.4)*0.98)*1.11)*0.85)-6.5)+3.2)+-0.3)+0.3</f>
        <v>-39.209118749741997</v>
      </c>
      <c r="F2705" s="4">
        <f>((-1.1509569*(1.3/1.5))*0.6)-0.3</f>
        <v>-0.8984975879999999</v>
      </c>
    </row>
    <row r="2706" spans="1:6" x14ac:dyDescent="0.4">
      <c r="A2706" s="4">
        <v>2366.0972000000002</v>
      </c>
      <c r="B2706" s="4">
        <v>1.2922716000000001</v>
      </c>
      <c r="C2706" s="4">
        <v>1.3356496</v>
      </c>
      <c r="D2706" s="4">
        <v>-30.678995999999998</v>
      </c>
      <c r="E2706" s="4">
        <f>(((((((((-31.0327614/(10/9))+-10.5)+-0.4)*0.98)*1.11)*0.85)-6.5)+3.2)+-0.3)+0.3</f>
        <v>-39.202906955953786</v>
      </c>
      <c r="F2706" s="4">
        <f>((-1.1511616*(1.3/1.5))*0.6)-0.3</f>
        <v>-0.89860403199999994</v>
      </c>
    </row>
    <row r="2707" spans="1:6" x14ac:dyDescent="0.4">
      <c r="A2707" s="4">
        <v>2366.9721249999998</v>
      </c>
      <c r="B2707" s="4">
        <v>1.2924914000000001</v>
      </c>
      <c r="C2707" s="4">
        <v>1.33605</v>
      </c>
      <c r="D2707" s="4">
        <v>-30.680858000000001</v>
      </c>
      <c r="E2707" s="4">
        <f>(((((((((-31.0387113/(10/9))+-10.5)+-0.4)*0.98)*1.11)*0.85)-6.5)+3.2)+-0.3)+0.3</f>
        <v>-39.207858266387099</v>
      </c>
      <c r="F2707" s="4">
        <f>((-1.1513222*(1.3/1.5))*0.6)-0.3</f>
        <v>-0.89868754399999995</v>
      </c>
    </row>
    <row r="2708" spans="1:6" x14ac:dyDescent="0.4">
      <c r="A2708" s="4">
        <v>2367.8470499999999</v>
      </c>
      <c r="B2708" s="4">
        <v>1.2928704</v>
      </c>
      <c r="C2708" s="4">
        <v>1.3362674000000001</v>
      </c>
      <c r="D2708" s="4">
        <v>-30.682459999999999</v>
      </c>
      <c r="E2708" s="4">
        <f>(((((((((-31.0181976/(10/9))+-10.5)+-0.4)*0.98)*1.11)*0.85)-6.5)+3.2)+-0.3)+0.3</f>
        <v>-39.190787442199195</v>
      </c>
      <c r="F2708" s="4">
        <f>((-1.1514697*(1.3/1.5))*0.6)-0.3</f>
        <v>-0.8987642440000001</v>
      </c>
    </row>
    <row r="2709" spans="1:6" x14ac:dyDescent="0.4">
      <c r="A2709" s="4">
        <v>2368.7219749999999</v>
      </c>
      <c r="B2709" s="4">
        <v>1.2932284999999999</v>
      </c>
      <c r="C2709" s="4">
        <v>1.3364117</v>
      </c>
      <c r="D2709" s="4">
        <v>-30.684208999999999</v>
      </c>
      <c r="E2709" s="4">
        <f>(((((((((-31.0405446/(10/9))+-10.5)+-0.4)*0.98)*1.11)*0.85)-6.5)+3.2)+-0.3)+0.3</f>
        <v>-39.209383878148202</v>
      </c>
      <c r="F2709" s="4">
        <f>((-1.1515584*(1.3/1.5))*0.6)-0.3</f>
        <v>-0.89881036800000014</v>
      </c>
    </row>
    <row r="2710" spans="1:6" x14ac:dyDescent="0.4">
      <c r="A2710" s="4">
        <v>2369.5969</v>
      </c>
      <c r="B2710" s="4">
        <v>1.2933794999999999</v>
      </c>
      <c r="C2710" s="4">
        <v>1.3368154000000001</v>
      </c>
      <c r="D2710" s="4">
        <v>-30.68572</v>
      </c>
      <c r="E2710" s="4">
        <f>(((((((((-30.9895515/(10/9))+-10.5)+-0.4)*0.98)*1.11)*0.85)-6.5)+3.2)+-0.3)+0.3</f>
        <v>-39.166949103100492</v>
      </c>
      <c r="F2710" s="4">
        <f>((-1.1516235*(1.3/1.5))*0.6)-0.3</f>
        <v>-0.89884421999999997</v>
      </c>
    </row>
    <row r="2711" spans="1:6" x14ac:dyDescent="0.4">
      <c r="A2711" s="4">
        <v>2370.4718250000001</v>
      </c>
      <c r="B2711" s="4">
        <v>1.2939191000000001</v>
      </c>
      <c r="C2711" s="4">
        <v>1.3370286</v>
      </c>
      <c r="D2711" s="4">
        <v>-30.687221000000001</v>
      </c>
      <c r="E2711" s="4">
        <f>(((((((((-31.0279482/(10/9))+-10.5)+-0.4)*0.98)*1.11)*0.85)-6.5)+3.2)+-0.3)+0.3</f>
        <v>-39.198901569749395</v>
      </c>
      <c r="F2711" s="4">
        <f>((-1.1517068*(1.3/1.5))*0.6)-0.3</f>
        <v>-0.89888753599999993</v>
      </c>
    </row>
    <row r="2712" spans="1:6" x14ac:dyDescent="0.4">
      <c r="A2712" s="4">
        <v>2371.3467500000002</v>
      </c>
      <c r="B2712" s="4">
        <v>1.2939423000000001</v>
      </c>
      <c r="C2712" s="4">
        <v>1.3372542000000001</v>
      </c>
      <c r="D2712" s="4">
        <v>-30.689478999999999</v>
      </c>
      <c r="E2712" s="4">
        <f>(((((((((-31.035924/(10/9))+-10.5)+-0.4)*0.98)*1.11)*0.85)-6.5)+3.2)+-0.3)+0.3</f>
        <v>-39.205538767307992</v>
      </c>
      <c r="F2712" s="4">
        <f>((-1.151825*(1.3/1.5))*0.6)-0.3</f>
        <v>-0.898949</v>
      </c>
    </row>
    <row r="2713" spans="1:6" x14ac:dyDescent="0.4">
      <c r="A2713" s="4">
        <v>2372.2216749999998</v>
      </c>
      <c r="B2713" s="4">
        <v>1.2943572000000001</v>
      </c>
      <c r="C2713" s="4">
        <v>1.3377043</v>
      </c>
      <c r="D2713" s="4">
        <v>-30.691154000000001</v>
      </c>
      <c r="E2713" s="4">
        <f>(((((((((-31.0329468/(10/9))+-10.5)+-0.4)*0.98)*1.11)*0.85)-6.5)+3.2)+-0.3)+0.3</f>
        <v>-39.203061239715595</v>
      </c>
      <c r="F2713" s="4">
        <f>((-1.1519401*(1.3/1.5))*0.6)-0.3</f>
        <v>-0.89900885199999991</v>
      </c>
    </row>
    <row r="2714" spans="1:6" x14ac:dyDescent="0.4">
      <c r="A2714" s="4">
        <v>2373.0966000000003</v>
      </c>
      <c r="B2714" s="4">
        <v>1.2944260000000001</v>
      </c>
      <c r="C2714" s="4">
        <v>1.3378679</v>
      </c>
      <c r="D2714" s="4">
        <v>-30.692739</v>
      </c>
      <c r="E2714" s="4">
        <f>(((((((((-31.0388697/(10/9))+-10.5)+-0.4)*0.98)*1.11)*0.85)-6.5)+3.2)+-0.3)+0.3</f>
        <v>-39.207990081639899</v>
      </c>
      <c r="F2714" s="4">
        <f>((-1.1520437*(1.3/1.5))*0.6)-0.3</f>
        <v>-0.89906272399999998</v>
      </c>
    </row>
    <row r="2715" spans="1:6" x14ac:dyDescent="0.4">
      <c r="A2715" s="4">
        <v>2373.9715249999999</v>
      </c>
      <c r="B2715" s="4">
        <v>1.2948062</v>
      </c>
      <c r="C2715" s="4">
        <v>1.3383655999999999</v>
      </c>
      <c r="D2715" s="4">
        <v>-30.694348999999999</v>
      </c>
      <c r="E2715" s="4">
        <f>(((((((((-31.0289373/(10/9))+-10.5)+-0.4)*0.98)*1.11)*0.85)-6.5)+3.2)+-0.3)+0.3</f>
        <v>-39.199724666129093</v>
      </c>
      <c r="F2715" s="4">
        <f>((-1.1521598*(1.3/1.5))*0.6)-0.3</f>
        <v>-0.89912309600000007</v>
      </c>
    </row>
    <row r="2716" spans="1:6" x14ac:dyDescent="0.4">
      <c r="A2716" s="4">
        <v>2374.84645</v>
      </c>
      <c r="B2716" s="4">
        <v>1.2948508999999999</v>
      </c>
      <c r="C2716" s="4">
        <v>1.3383502</v>
      </c>
      <c r="D2716" s="4">
        <v>-30.696020999999998</v>
      </c>
      <c r="E2716" s="4">
        <f>(((((((((-31.0199904/(10/9))+-10.5)+-0.4)*0.98)*1.11)*0.85)-6.5)+3.2)+-0.3)+0.3</f>
        <v>-39.192279351196802</v>
      </c>
      <c r="F2716" s="4">
        <f>((-1.1521512*(1.3/1.5))*0.6)-0.3</f>
        <v>-0.89911862399999998</v>
      </c>
    </row>
    <row r="2717" spans="1:6" x14ac:dyDescent="0.4">
      <c r="A2717" s="4">
        <v>2375.7213750000001</v>
      </c>
      <c r="B2717" s="4">
        <v>1.2951518</v>
      </c>
      <c r="C2717" s="4">
        <v>1.3387716000000001</v>
      </c>
      <c r="D2717" s="4">
        <v>-30.697398</v>
      </c>
      <c r="E2717" s="4">
        <f>(((((((((-31.0241304/(10/9))+-10.5)+-0.4)*0.98)*1.11)*0.85)-6.5)+3.2)+-0.3)+0.3</f>
        <v>-39.195724522576796</v>
      </c>
      <c r="F2717" s="4">
        <f>((-1.1521112*(1.3/1.5))*0.6)-0.3</f>
        <v>-0.89909782400000005</v>
      </c>
    </row>
    <row r="2718" spans="1:6" x14ac:dyDescent="0.4">
      <c r="A2718" s="4">
        <v>2376.5962999999997</v>
      </c>
      <c r="B2718" s="4">
        <v>1.2955076999999999</v>
      </c>
      <c r="C2718" s="4">
        <v>1.3386575999999999</v>
      </c>
      <c r="D2718" s="4">
        <v>-30.699195</v>
      </c>
      <c r="E2718" s="4">
        <f>(((((((((-31.0443795/(10/9))+-10.5)+-0.4)*0.98)*1.11)*0.85)-6.5)+3.2)+-0.3)+0.3</f>
        <v>-39.212575155376499</v>
      </c>
      <c r="F2718" s="4">
        <f>((-1.1520112*(1.3/1.5))*0.6)-0.3</f>
        <v>-0.8990458240000001</v>
      </c>
    </row>
    <row r="2719" spans="1:6" x14ac:dyDescent="0.4">
      <c r="A2719" s="4">
        <v>2377.4712250000002</v>
      </c>
      <c r="B2719" s="4">
        <v>1.2957665</v>
      </c>
      <c r="C2719" s="4">
        <v>1.338959</v>
      </c>
      <c r="D2719" s="4">
        <v>-30.700976999999998</v>
      </c>
      <c r="E2719" s="4">
        <f>(((((((((-31.0460076/(10/9))+-10.5)+-0.4)*0.98)*1.11)*0.85)-6.5)+3.2)+-0.3)+0.3</f>
        <v>-39.213930006469198</v>
      </c>
      <c r="F2719" s="4">
        <f>((-1.1519101*(1.3/1.5))*0.6)-0.3</f>
        <v>-0.89899325200000013</v>
      </c>
    </row>
    <row r="2720" spans="1:6" x14ac:dyDescent="0.4">
      <c r="A2720" s="4">
        <v>2378.3461499999999</v>
      </c>
      <c r="B2720" s="4">
        <v>1.2960624000000001</v>
      </c>
      <c r="C2720" s="4">
        <v>1.339342</v>
      </c>
      <c r="D2720" s="4">
        <v>-30.70289</v>
      </c>
      <c r="E2720" s="4">
        <f>(((((((((-31.0374684/(10/9))+-10.5)+-0.4)*0.98)*1.11)*0.85)-6.5)+3.2)+-0.3)+0.3</f>
        <v>-39.206823966022796</v>
      </c>
      <c r="F2720" s="4">
        <f>((-1.1517793*(1.3/1.5))*0.6)-0.3</f>
        <v>-0.89892523599999996</v>
      </c>
    </row>
    <row r="2721" spans="1:6" x14ac:dyDescent="0.4">
      <c r="A2721" s="4">
        <v>2379.2210750000004</v>
      </c>
      <c r="B2721" s="4">
        <v>1.2963001000000001</v>
      </c>
      <c r="C2721" s="4">
        <v>1.3398261</v>
      </c>
      <c r="D2721" s="4">
        <v>-30.704660000000001</v>
      </c>
      <c r="E2721" s="4">
        <f>(((((((((-31.0044132/(10/9))+-10.5)+-0.4)*0.98)*1.11)*0.85)-6.5)+3.2)+-0.3)+0.3</f>
        <v>-39.179316519404395</v>
      </c>
      <c r="F2721" s="4">
        <f>((-1.1516581*(1.3/1.5))*0.6)-0.3</f>
        <v>-0.89886221199999983</v>
      </c>
    </row>
    <row r="2722" spans="1:6" x14ac:dyDescent="0.4">
      <c r="A2722" s="4">
        <v>2380.096</v>
      </c>
      <c r="B2722" s="4">
        <v>1.2965897</v>
      </c>
      <c r="C2722" s="4">
        <v>1.3399458</v>
      </c>
      <c r="D2722" s="4">
        <v>-30.706579999999999</v>
      </c>
      <c r="E2722" s="4">
        <f>(((((((((-31.0360779/(10/9))+-10.5)+-0.4)*0.98)*1.11)*0.85)-6.5)+3.2)+-0.3)+0.3</f>
        <v>-39.205666837809297</v>
      </c>
      <c r="F2722" s="4">
        <f>((-1.1514583*(1.3/1.5))*0.6)-0.3</f>
        <v>-0.89875831599999989</v>
      </c>
    </row>
    <row r="2723" spans="1:6" x14ac:dyDescent="0.4">
      <c r="A2723" s="4">
        <v>2380.9709249999996</v>
      </c>
      <c r="B2723" s="4">
        <v>1.2968031</v>
      </c>
      <c r="C2723" s="4">
        <v>1.3402586000000001</v>
      </c>
      <c r="D2723" s="4">
        <v>-30.708300999999999</v>
      </c>
      <c r="E2723" s="4">
        <f>(((((((((-31.0385088/(10/9))+-10.5)+-0.4)*0.98)*1.11)*0.85)-6.5)+3.2)+-0.3)+0.3</f>
        <v>-39.207689752569593</v>
      </c>
      <c r="F2723" s="4">
        <f>((-1.1512855*(1.3/1.5))*0.6)-0.3</f>
        <v>-0.89866845999999989</v>
      </c>
    </row>
    <row r="2724" spans="1:6" x14ac:dyDescent="0.4">
      <c r="A2724" s="4">
        <v>2381.8458500000002</v>
      </c>
      <c r="B2724" s="4">
        <v>1.2969185000000001</v>
      </c>
      <c r="C2724" s="4">
        <v>1.3402232000000001</v>
      </c>
      <c r="D2724" s="4">
        <v>-30.710751999999999</v>
      </c>
      <c r="E2724" s="4">
        <f>(((((((((-31.0206321/(10/9))+-10.5)+-0.4)*0.98)*1.11)*0.85)-6.5)+3.2)+-0.3)+0.3</f>
        <v>-39.192813352760695</v>
      </c>
      <c r="F2724" s="4">
        <f>((-1.1510905*(1.3/1.5))*0.6)-0.3</f>
        <v>-0.89856705999999997</v>
      </c>
    </row>
    <row r="2725" spans="1:6" x14ac:dyDescent="0.4">
      <c r="A2725" s="4">
        <v>2382.7207749999998</v>
      </c>
      <c r="B2725" s="4">
        <v>1.2970706999999999</v>
      </c>
      <c r="C2725" s="4">
        <v>1.3405639</v>
      </c>
      <c r="D2725" s="4">
        <v>-30.712730000000001</v>
      </c>
      <c r="E2725" s="4">
        <f>(((((((((-31.0674411/(10/9))+-10.5)+-0.4)*0.98)*1.11)*0.85)-6.5)+3.2)+-0.3)+0.3</f>
        <v>-39.231766257863697</v>
      </c>
      <c r="F2725" s="4">
        <f>((-1.150777*(1.3/1.5))*0.6)-0.3</f>
        <v>-0.89840403999999996</v>
      </c>
    </row>
    <row r="2726" spans="1:6" x14ac:dyDescent="0.4">
      <c r="A2726" s="4">
        <v>2383.5957000000003</v>
      </c>
      <c r="B2726" s="4">
        <v>1.2975539</v>
      </c>
      <c r="C2726" s="4">
        <v>1.3409609</v>
      </c>
      <c r="D2726" s="4">
        <v>-30.714251999999998</v>
      </c>
      <c r="E2726" s="4">
        <f>(((((((((-31.0363938/(10/9))+-10.5)+-0.4)*0.98)*1.11)*0.85)-6.5)+3.2)+-0.3)+0.3</f>
        <v>-39.205929719364597</v>
      </c>
      <c r="F2726" s="4">
        <f>((-1.1504588*(1.3/1.5))*0.6)-0.3</f>
        <v>-0.89823857600000001</v>
      </c>
    </row>
    <row r="2727" spans="1:6" x14ac:dyDescent="0.4">
      <c r="A2727" s="4">
        <v>2384.4706249999999</v>
      </c>
      <c r="B2727" s="4">
        <v>1.2979531</v>
      </c>
      <c r="C2727" s="4">
        <v>1.3410696</v>
      </c>
      <c r="D2727" s="4">
        <v>-30.716387999999998</v>
      </c>
      <c r="E2727" s="4">
        <f>(((((((((-31.039542/(10/9))+-10.5)+-0.4)*0.98)*1.11)*0.85)-6.5)+3.2)+-0.3)+0.3</f>
        <v>-39.208549547514004</v>
      </c>
      <c r="F2727" s="4">
        <f>((-1.1500224*(1.3/1.5))*0.6)-0.3</f>
        <v>-0.898011648</v>
      </c>
    </row>
    <row r="2728" spans="1:6" x14ac:dyDescent="0.4">
      <c r="A2728" s="4">
        <v>2385.34555</v>
      </c>
      <c r="B2728" s="4">
        <v>1.298149</v>
      </c>
      <c r="C2728" s="4">
        <v>1.341674</v>
      </c>
      <c r="D2728" s="4">
        <v>-30.718425</v>
      </c>
      <c r="E2728" s="4">
        <f>(((((((((-31.0563207/(10/9))+-10.5)+-0.4)*0.98)*1.11)*0.85)-6.5)+3.2)+-0.3)+0.3</f>
        <v>-39.222512227956898</v>
      </c>
      <c r="F2728" s="4">
        <f>((-1.1496958*(1.3/1.5))*0.6)-0.3</f>
        <v>-0.8978418159999999</v>
      </c>
    </row>
    <row r="2729" spans="1:6" x14ac:dyDescent="0.4">
      <c r="A2729" s="4">
        <v>2386.2204750000001</v>
      </c>
      <c r="B2729" s="4">
        <v>1.2982887999999999</v>
      </c>
      <c r="C2729" s="4">
        <v>1.3417467000000001</v>
      </c>
      <c r="D2729" s="4">
        <v>-30.720905999999999</v>
      </c>
      <c r="E2729" s="4">
        <f>(((((((((-31.0524345/(10/9))+-10.5)+-0.4)*0.98)*1.11)*0.85)-6.5)+3.2)+-0.3)+0.3</f>
        <v>-39.219278260561495</v>
      </c>
      <c r="F2729" s="4">
        <f>((-1.1493317*(1.3/1.5))*0.6)-0.3</f>
        <v>-0.89765248399999997</v>
      </c>
    </row>
    <row r="2730" spans="1:6" x14ac:dyDescent="0.4">
      <c r="A2730" s="4">
        <v>2387.0953999999997</v>
      </c>
      <c r="B2730" s="4">
        <v>1.2984583000000001</v>
      </c>
      <c r="C2730" s="4">
        <v>1.3418365999999999</v>
      </c>
      <c r="D2730" s="4">
        <v>-30.723148999999999</v>
      </c>
      <c r="E2730" s="4">
        <f>(((((((((-31.0187853/(10/9))+-10.5)+-0.4)*0.98)*1.11)*0.85)-6.5)+3.2)+-0.3)+0.3</f>
        <v>-39.191276506745091</v>
      </c>
      <c r="F2730" s="4">
        <f>((-1.1489595*(1.3/1.5))*0.6)-0.3</f>
        <v>-0.89745893999999993</v>
      </c>
    </row>
    <row r="2731" spans="1:6" x14ac:dyDescent="0.4">
      <c r="A2731" s="4">
        <v>2387.9703250000002</v>
      </c>
      <c r="B2731" s="4">
        <v>1.2984216</v>
      </c>
      <c r="C2731" s="4">
        <v>1.3422700000000001</v>
      </c>
      <c r="D2731" s="4">
        <v>-30.725963</v>
      </c>
      <c r="E2731" s="4">
        <f>(((((((((-31.0446441/(10/9))+-10.5)+-0.4)*0.98)*1.11)*0.85)-6.5)+3.2)+-0.3)+0.3</f>
        <v>-39.212795346764686</v>
      </c>
      <c r="F2731" s="4">
        <f>((-1.1485866*(1.3/1.5))*0.6)-0.3</f>
        <v>-0.89726503199999996</v>
      </c>
    </row>
    <row r="2732" spans="1:6" x14ac:dyDescent="0.4">
      <c r="A2732" s="4">
        <v>2388.8452499999999</v>
      </c>
      <c r="B2732" s="4">
        <v>1.2989531000000001</v>
      </c>
      <c r="C2732" s="4">
        <v>1.3424598000000001</v>
      </c>
      <c r="D2732" s="4">
        <v>-30.728884999999998</v>
      </c>
      <c r="E2732" s="4">
        <f>(((((((((-31.0323258/(10/9))+-10.5)+-0.4)*0.98)*1.11)*0.85)-6.5)+3.2)+-0.3)+0.3</f>
        <v>-39.202544464008596</v>
      </c>
      <c r="F2732" s="4">
        <f>((-1.1482234*(1.3/1.5))*0.6)-0.3</f>
        <v>-0.8970761679999999</v>
      </c>
    </row>
    <row r="2733" spans="1:6" x14ac:dyDescent="0.4">
      <c r="A2733" s="4">
        <v>2389.7201749999999</v>
      </c>
      <c r="B2733" s="4">
        <v>1.2991710000000001</v>
      </c>
      <c r="C2733" s="4">
        <v>1.3426480000000001</v>
      </c>
      <c r="D2733" s="4">
        <v>-30.73161</v>
      </c>
      <c r="E2733" s="4">
        <f>(((((((((-31.0626414/(10/9))+-10.5)+-0.4)*0.98)*1.11)*0.85)-6.5)+3.2)+-0.3)+0.3</f>
        <v>-39.227772105913793</v>
      </c>
      <c r="F2733" s="4">
        <f>((-1.1478535*(1.3/1.5))*0.6)-0.3</f>
        <v>-0.89688382</v>
      </c>
    </row>
    <row r="2734" spans="1:6" x14ac:dyDescent="0.4">
      <c r="A2734" s="4">
        <v>2390.5951</v>
      </c>
      <c r="B2734" s="4">
        <v>1.2995584</v>
      </c>
      <c r="C2734" s="4">
        <v>1.3431630999999999</v>
      </c>
      <c r="D2734" s="4">
        <v>-30.734407000000001</v>
      </c>
      <c r="E2734" s="4">
        <f>(((((((((-31.0114926/(10/9))+-10.5)+-0.4)*0.98)*1.11)*0.85)-6.5)+3.2)+-0.3)+0.3</f>
        <v>-39.185207762464195</v>
      </c>
      <c r="F2734" s="4">
        <f>((-1.1474457*(1.3/1.5))*0.6)-0.3</f>
        <v>-0.89667176399999993</v>
      </c>
    </row>
    <row r="2735" spans="1:6" x14ac:dyDescent="0.4">
      <c r="A2735" s="4">
        <v>2391.4700250000001</v>
      </c>
      <c r="B2735" s="4">
        <v>1.2996072000000001</v>
      </c>
      <c r="C2735" s="4">
        <v>1.3431972000000001</v>
      </c>
      <c r="D2735" s="4">
        <v>-30.736992999999998</v>
      </c>
      <c r="E2735" s="4">
        <f>(((((((((-31.0364181/(10/9))+-10.5)+-0.4)*0.98)*1.11)*0.85)-6.5)+3.2)+-0.3)+0.3</f>
        <v>-39.205949941022688</v>
      </c>
      <c r="F2735" s="4">
        <f>((-1.1470551*(1.3/1.5))*0.6)-0.3</f>
        <v>-0.89646865200000003</v>
      </c>
    </row>
    <row r="2736" spans="1:6" x14ac:dyDescent="0.4">
      <c r="A2736" s="4">
        <v>2392.3449500000002</v>
      </c>
      <c r="B2736" s="4">
        <v>1.2995836000000001</v>
      </c>
      <c r="C2736" s="4">
        <v>1.3434591</v>
      </c>
      <c r="D2736" s="4">
        <v>-30.739228000000001</v>
      </c>
      <c r="E2736" s="4">
        <f>(((((((((-31.025583/(10/9))+-10.5)+-0.4)*0.98)*1.11)*0.85)-6.5)+3.2)+-0.3)+0.3</f>
        <v>-39.196933328360998</v>
      </c>
      <c r="F2736" s="4">
        <f>((-1.1465989*(1.3/1.5))*0.6)-0.3</f>
        <v>-0.89623142800000011</v>
      </c>
    </row>
    <row r="2737" spans="1:6" x14ac:dyDescent="0.4">
      <c r="A2737" s="4">
        <v>2393.2198749999998</v>
      </c>
      <c r="B2737" s="4">
        <v>1.2998936000000001</v>
      </c>
      <c r="C2737" s="4">
        <v>1.3435311000000001</v>
      </c>
      <c r="D2737" s="4">
        <v>-30.741783999999999</v>
      </c>
      <c r="E2737" s="4">
        <f>(((((((((-31.0365765/(10/9))+-10.5)+-0.4)*0.98)*1.11)*0.85)-6.5)+3.2)+-0.3)+0.3</f>
        <v>-39.206081756275488</v>
      </c>
      <c r="F2737" s="4">
        <f>((-1.1461899*(1.3/1.5))*0.6)-0.3</f>
        <v>-0.89601874799999992</v>
      </c>
    </row>
    <row r="2738" spans="1:6" x14ac:dyDescent="0.4">
      <c r="A2738" s="4">
        <v>2394.0947999999999</v>
      </c>
      <c r="B2738" s="4">
        <v>1.3003502</v>
      </c>
      <c r="C2738" s="4">
        <v>1.3438677000000001</v>
      </c>
      <c r="D2738" s="4">
        <v>-30.744886000000001</v>
      </c>
      <c r="E2738" s="4">
        <f>(((((((((-31.0820319/(10/9))+-10.5)+-0.4)*0.98)*1.11)*0.85)-6.5)+3.2)+-0.3)+0.3</f>
        <v>-39.24390824012729</v>
      </c>
      <c r="F2738" s="4">
        <f>((-1.1458515*(1.3/1.5))*0.6)-0.3</f>
        <v>-0.89584277999999995</v>
      </c>
    </row>
    <row r="2739" spans="1:6" x14ac:dyDescent="0.4">
      <c r="A2739" s="4">
        <v>2394.9697249999999</v>
      </c>
      <c r="B2739" s="4">
        <v>1.3005164</v>
      </c>
      <c r="C2739" s="4">
        <v>1.3442539</v>
      </c>
      <c r="D2739" s="4">
        <v>-30.747526999999998</v>
      </c>
      <c r="E2739" s="4">
        <f>(((((((((-31.0285179/(10/9))+-10.5)+-0.4)*0.98)*1.11)*0.85)-6.5)+3.2)+-0.3)+0.3</f>
        <v>-39.199375655289288</v>
      </c>
      <c r="F2739" s="4">
        <f>((-1.1454167*(1.3/1.5))*0.6)-0.3</f>
        <v>-0.89561668399999994</v>
      </c>
    </row>
    <row r="2740" spans="1:6" x14ac:dyDescent="0.4">
      <c r="A2740" s="4">
        <v>2395.84465</v>
      </c>
      <c r="B2740" s="4">
        <v>1.3005979999999999</v>
      </c>
      <c r="C2740" s="4">
        <v>1.3441889</v>
      </c>
      <c r="D2740" s="4">
        <v>-30.750450999999998</v>
      </c>
      <c r="E2740" s="4">
        <f>(((((((((-31.0464945/(10/9))+-10.5)+-0.4)*0.98)*1.11)*0.85)-6.5)+3.2)+-0.3)+0.3</f>
        <v>-39.214335188581494</v>
      </c>
      <c r="F2740" s="4">
        <f>((-1.1449147*(1.3/1.5))*0.6)-0.3</f>
        <v>-0.8953556439999999</v>
      </c>
    </row>
    <row r="2741" spans="1:6" x14ac:dyDescent="0.4">
      <c r="A2741" s="4">
        <v>2396.7195750000001</v>
      </c>
      <c r="B2741" s="4">
        <v>1.3008683000000001</v>
      </c>
      <c r="C2741" s="4">
        <v>1.3443822000000001</v>
      </c>
      <c r="D2741" s="4">
        <v>-30.753450000000001</v>
      </c>
      <c r="E2741" s="4">
        <f>(((((((((-31.014837/(10/9))+-10.5)+-0.4)*0.98)*1.11)*0.85)-6.5)+3.2)+-0.3)+0.3</f>
        <v>-39.187990861778992</v>
      </c>
      <c r="F2741" s="4">
        <f>((-1.1443959*(1.3/1.5))*0.6)-0.3</f>
        <v>-0.89508586800000001</v>
      </c>
    </row>
    <row r="2742" spans="1:6" x14ac:dyDescent="0.4">
      <c r="A2742" s="4">
        <v>2397.5945000000002</v>
      </c>
      <c r="B2742" s="4">
        <v>1.3012170999999999</v>
      </c>
      <c r="C2742" s="4">
        <v>1.3447754000000001</v>
      </c>
      <c r="D2742" s="4">
        <v>-30.756903999999999</v>
      </c>
      <c r="E2742" s="4">
        <f>(((((((((-31.006377/(10/9))+-10.5)+-0.4)*0.98)*1.11)*0.85)-6.5)+3.2)+-0.3)+0.3</f>
        <v>-39.180950728958997</v>
      </c>
      <c r="F2742" s="4">
        <f>((-1.1439602*(1.3/1.5))*0.6)-0.3</f>
        <v>-0.89485930399999991</v>
      </c>
    </row>
    <row r="2743" spans="1:6" x14ac:dyDescent="0.4">
      <c r="A2743" s="4">
        <v>2398.4694249999998</v>
      </c>
      <c r="B2743" s="4">
        <v>1.3012713</v>
      </c>
      <c r="C2743" s="4">
        <v>1.3447076</v>
      </c>
      <c r="D2743" s="4">
        <v>-30.760452999999998</v>
      </c>
      <c r="E2743" s="4">
        <f>(((((((((-31.0353129/(10/9))+-10.5)+-0.4)*0.98)*1.11)*0.85)-6.5)+3.2)+-0.3)+0.3</f>
        <v>-39.205030230054298</v>
      </c>
      <c r="F2743" s="4">
        <f>((-1.1435211*(1.3/1.5))*0.6)-0.3</f>
        <v>-0.89463097200000008</v>
      </c>
    </row>
    <row r="2744" spans="1:6" x14ac:dyDescent="0.4">
      <c r="A2744" s="4">
        <v>2399.3443500000003</v>
      </c>
      <c r="B2744" s="4">
        <v>1.3015061999999999</v>
      </c>
      <c r="C2744" s="4">
        <v>1.3449595999999999</v>
      </c>
      <c r="D2744" s="4">
        <v>-30.763695999999999</v>
      </c>
      <c r="E2744" s="4">
        <f>(((((((((-31.0522662/(10/9))+-10.5)+-0.4)*0.98)*1.11)*0.85)-6.5)+3.2)+-0.3)+0.3</f>
        <v>-39.219138206855398</v>
      </c>
      <c r="F2744" s="4">
        <f>((-1.1431304*(1.3/1.5))*0.6)-0.3</f>
        <v>-0.8944278080000001</v>
      </c>
    </row>
    <row r="2745" spans="1:6" x14ac:dyDescent="0.4">
      <c r="A2745" s="4">
        <v>2400.2192749999999</v>
      </c>
      <c r="B2745" s="4">
        <v>1.3017863999999999</v>
      </c>
      <c r="C2745" s="4">
        <v>1.3451740000000001</v>
      </c>
      <c r="D2745" s="4">
        <v>-30.767002999999999</v>
      </c>
      <c r="E2745" s="4">
        <f>(((((((((-31.0483728/(10/9))+-10.5)+-0.4)*0.98)*1.11)*0.85)-6.5)+3.2)+-0.3)+0.3</f>
        <v>-39.215898247857595</v>
      </c>
      <c r="F2745" s="4">
        <f>((-1.1428061*(1.3/1.5))*0.6)-0.3</f>
        <v>-0.89425917199999994</v>
      </c>
    </row>
    <row r="2746" spans="1:6" x14ac:dyDescent="0.4">
      <c r="A2746" s="4">
        <v>2401.0942</v>
      </c>
      <c r="B2746" s="4">
        <v>1.3019643999999999</v>
      </c>
      <c r="C2746" s="4">
        <v>1.3455013</v>
      </c>
      <c r="D2746" s="4">
        <v>-30.770799</v>
      </c>
      <c r="E2746" s="4">
        <f>(((((((((-31.0614291/(10/9))+-10.5)+-0.4)*0.98)*1.11)*0.85)-6.5)+3.2)+-0.3)+0.3</f>
        <v>-39.226763269859696</v>
      </c>
      <c r="F2746" s="4">
        <f>((-1.142508*(1.3/1.5))*0.6)-0.3</f>
        <v>-0.89410415999999993</v>
      </c>
    </row>
    <row r="2747" spans="1:6" x14ac:dyDescent="0.4">
      <c r="A2747" s="4">
        <v>2401.9691250000001</v>
      </c>
      <c r="B2747" s="4">
        <v>1.3020518999999999</v>
      </c>
      <c r="C2747" s="4">
        <v>1.3456288999999999</v>
      </c>
      <c r="D2747" s="4">
        <v>-30.773810999999998</v>
      </c>
      <c r="E2747" s="4">
        <f>(((((((((-31.0184559/(10/9))+-10.5)+-0.4)*0.98)*1.11)*0.85)-6.5)+3.2)+-0.3)+0.3</f>
        <v>-39.191002390935289</v>
      </c>
      <c r="F2747" s="4">
        <f>((-1.142185*(1.3/1.5))*0.6)-0.3</f>
        <v>-0.89393619999999996</v>
      </c>
    </row>
    <row r="2748" spans="1:6" x14ac:dyDescent="0.4">
      <c r="A2748" s="4">
        <v>2402.8440499999997</v>
      </c>
      <c r="B2748" s="4">
        <v>1.3019464000000001</v>
      </c>
      <c r="C2748" s="4">
        <v>1.3458931000000001</v>
      </c>
      <c r="D2748" s="4">
        <v>-30.777124000000001</v>
      </c>
      <c r="E2748" s="4">
        <f>(((((((((-31.0469787/(10/9))+-10.5)+-0.4)*0.98)*1.11)*0.85)-6.5)+3.2)+-0.3)+0.3</f>
        <v>-39.214738123842899</v>
      </c>
      <c r="F2748" s="4">
        <f>((-1.1419133*(1.3/1.5))*0.6)-0.3</f>
        <v>-0.89379491599999983</v>
      </c>
    </row>
    <row r="2749" spans="1:6" x14ac:dyDescent="0.4">
      <c r="A2749" s="4">
        <v>2403.7189750000002</v>
      </c>
      <c r="B2749" s="4">
        <v>1.3024818</v>
      </c>
      <c r="C2749" s="4">
        <v>1.3460927</v>
      </c>
      <c r="D2749" s="4">
        <v>-30.780387000000001</v>
      </c>
      <c r="E2749" s="4">
        <f>(((((((((-31.0626207/(10/9))+-10.5)+-0.4)*0.98)*1.11)*0.85)-6.5)+3.2)+-0.3)+0.3</f>
        <v>-39.227754880056892</v>
      </c>
      <c r="F2749" s="4">
        <f>((-1.141657*(1.3/1.5))*0.6)-0.3</f>
        <v>-0.89366163999999992</v>
      </c>
    </row>
    <row r="2750" spans="1:6" x14ac:dyDescent="0.4">
      <c r="A2750" s="4">
        <v>2404.5938999999998</v>
      </c>
      <c r="B2750" s="4">
        <v>1.3026378999999999</v>
      </c>
      <c r="C2750" s="4">
        <v>1.3463109</v>
      </c>
      <c r="D2750" s="4">
        <v>-30.784582999999998</v>
      </c>
      <c r="E2750" s="4">
        <f>(((((((((-31.0033287/(10/9))+-10.5)+-0.4)*0.98)*1.11)*0.85)-6.5)+3.2)+-0.3)+0.3</f>
        <v>-39.178414034292892</v>
      </c>
      <c r="F2750" s="4">
        <f>((-1.1414607*(1.3/1.5))*0.6)-0.3</f>
        <v>-0.89355956400000003</v>
      </c>
    </row>
    <row r="2751" spans="1:6" x14ac:dyDescent="0.4">
      <c r="A2751" s="4">
        <v>2405.4688250000004</v>
      </c>
      <c r="B2751" s="4">
        <v>1.3027229</v>
      </c>
      <c r="C2751" s="4">
        <v>1.3464799000000001</v>
      </c>
      <c r="D2751" s="4">
        <v>-30.788174999999999</v>
      </c>
      <c r="E2751" s="4">
        <f>(((((((((-31.0470066/(10/9))+-10.5)+-0.4)*0.98)*1.11)*0.85)-6.5)+3.2)+-0.3)+0.3</f>
        <v>-39.214761341302193</v>
      </c>
      <c r="F2751" s="4">
        <f>((-1.1412461*(1.3/1.5))*0.6)-0.3</f>
        <v>-0.89344797199999992</v>
      </c>
    </row>
    <row r="2752" spans="1:6" x14ac:dyDescent="0.4">
      <c r="A2752" s="4">
        <v>2406.34375</v>
      </c>
      <c r="B2752" s="4">
        <v>1.3027644</v>
      </c>
      <c r="C2752" s="4">
        <v>1.3465754999999999</v>
      </c>
      <c r="D2752" s="4">
        <v>-30.791249000000001</v>
      </c>
      <c r="E2752" s="4">
        <f>(((((((((-30.9944574/(10/9))+-10.5)+-0.4)*0.98)*1.11)*0.85)-6.5)+3.2)+-0.3)+0.3</f>
        <v>-39.171031631185805</v>
      </c>
      <c r="F2752" s="4">
        <f>((-1.1410797*(1.3/1.5))*0.6)-0.3</f>
        <v>-0.89336144399999995</v>
      </c>
    </row>
    <row r="2753" spans="1:6" x14ac:dyDescent="0.4">
      <c r="A2753" s="4">
        <v>2407.2186749999996</v>
      </c>
      <c r="B2753" s="4">
        <v>1.3033366</v>
      </c>
      <c r="C2753" s="4">
        <v>1.3470232</v>
      </c>
      <c r="D2753" s="4">
        <v>-30.794560999999998</v>
      </c>
      <c r="E2753" s="4">
        <f>(((((((((-31.0191831/(10/9))+-10.5)+-0.4)*0.98)*1.11)*0.85)-6.5)+3.2)+-0.3)+0.3</f>
        <v>-39.191607542777696</v>
      </c>
      <c r="F2753" s="4">
        <f>((-1.1409993*(1.3/1.5))*0.6)-0.3</f>
        <v>-0.89331963599999997</v>
      </c>
    </row>
    <row r="2754" spans="1:6" x14ac:dyDescent="0.4">
      <c r="A2754" s="4">
        <v>2408.0936000000002</v>
      </c>
      <c r="B2754" s="4">
        <v>1.3034207</v>
      </c>
      <c r="C2754" s="4">
        <v>1.3473599999999999</v>
      </c>
      <c r="D2754" s="4">
        <v>-30.798576000000001</v>
      </c>
      <c r="E2754" s="4">
        <f>(((((((((-31.0200282/(10/9))+-10.5)+-0.4)*0.98)*1.11)*0.85)-6.5)+3.2)+-0.3)+0.3</f>
        <v>-39.192310807109394</v>
      </c>
      <c r="F2754" s="4">
        <f>((-1.1409649*(1.3/1.5))*0.6)-0.3</f>
        <v>-0.89330174800000006</v>
      </c>
    </row>
    <row r="2755" spans="1:6" x14ac:dyDescent="0.4">
      <c r="A2755" s="4">
        <v>2408.9685249999998</v>
      </c>
      <c r="B2755" s="4">
        <v>1.3035631000000001</v>
      </c>
      <c r="C2755" s="4">
        <v>1.3473846</v>
      </c>
      <c r="D2755" s="4">
        <v>-30.802347999999999</v>
      </c>
      <c r="E2755" s="4">
        <f>(((((((((-30.9976983/(10/9))+-10.5)+-0.4)*0.98)*1.11)*0.85)-6.5)+3.2)+-0.3)+0.3</f>
        <v>-39.173728601216091</v>
      </c>
      <c r="F2755" s="4">
        <f>((-1.1409526*(1.3/1.5))*0.6)-0.3</f>
        <v>-0.89329535199999999</v>
      </c>
    </row>
    <row r="2756" spans="1:6" x14ac:dyDescent="0.4">
      <c r="A2756" s="4">
        <v>2409.8434500000003</v>
      </c>
      <c r="B2756" s="4">
        <v>1.3040620999999999</v>
      </c>
      <c r="C2756" s="4">
        <v>1.3478546</v>
      </c>
      <c r="D2756" s="4">
        <v>-30.805785</v>
      </c>
      <c r="E2756" s="4">
        <f>(((((((((-31.0231143/(10/9))+-10.5)+-0.4)*0.98)*1.11)*0.85)-6.5)+3.2)+-0.3)+0.3</f>
        <v>-39.194878957688104</v>
      </c>
      <c r="F2756" s="4">
        <f>((-1.1409433*(1.3/1.5))*0.6)-0.3</f>
        <v>-0.89329051599999998</v>
      </c>
    </row>
    <row r="2757" spans="1:6" x14ac:dyDescent="0.4">
      <c r="A2757" s="4">
        <v>2410.7183749999999</v>
      </c>
      <c r="B2757" s="4">
        <v>1.3039080999999999</v>
      </c>
      <c r="C2757" s="4">
        <v>1.3478686</v>
      </c>
      <c r="D2757" s="4">
        <v>-30.809487999999998</v>
      </c>
      <c r="E2757" s="4">
        <f>(((((((((-31.0038129/(10/9))+-10.5)+-0.4)*0.98)*1.11)*0.85)-6.5)+3.2)+-0.3)+0.3</f>
        <v>-39.178816969554298</v>
      </c>
      <c r="F2757" s="4">
        <f>((-1.1409907*(1.3/1.5))*0.6)-0.3</f>
        <v>-0.89331516399999988</v>
      </c>
    </row>
    <row r="2758" spans="1:6" x14ac:dyDescent="0.4">
      <c r="A2758" s="4">
        <v>2411.5933</v>
      </c>
      <c r="B2758" s="4">
        <v>1.3042041</v>
      </c>
      <c r="C2758" s="4">
        <v>1.34798</v>
      </c>
      <c r="D2758" s="4">
        <v>-30.812916999999999</v>
      </c>
      <c r="E2758" s="4">
        <f>(((((((((-30.9842739/(10/9))+-10.5)+-0.4)*0.98)*1.11)*0.85)-6.5)+3.2)+-0.3)+0.3</f>
        <v>-39.162557258541305</v>
      </c>
      <c r="F2758" s="4">
        <f>((-1.141102*(1.3/1.5))*0.6)-0.3</f>
        <v>-0.89337303999999995</v>
      </c>
    </row>
    <row r="2759" spans="1:6" x14ac:dyDescent="0.4">
      <c r="A2759" s="4">
        <v>2412.4682250000001</v>
      </c>
      <c r="B2759" s="4">
        <v>1.3045057</v>
      </c>
      <c r="C2759" s="4">
        <v>1.3478654999999999</v>
      </c>
      <c r="D2759" s="4">
        <v>-30.816627</v>
      </c>
      <c r="E2759" s="4">
        <f>(((((((((-31.0221603/(10/9))+-10.5)+-0.4)*0.98)*1.11)*0.85)-6.5)+3.2)+-0.3)+0.3</f>
        <v>-39.1940850703701</v>
      </c>
      <c r="F2759" s="4">
        <f>((-1.1412728*(1.3/1.5))*0.6)-0.3</f>
        <v>-0.89346185600000005</v>
      </c>
    </row>
    <row r="2760" spans="1:6" x14ac:dyDescent="0.4">
      <c r="A2760" s="4">
        <v>2413.3431499999997</v>
      </c>
      <c r="B2760" s="4">
        <v>1.3046466999999999</v>
      </c>
      <c r="C2760" s="4">
        <v>1.3486115000000001</v>
      </c>
      <c r="D2760" s="4">
        <v>-30.820155</v>
      </c>
      <c r="E2760" s="4">
        <f>(((((((((-30.9834261/(10/9))+-10.5)+-0.4)*0.98)*1.11)*0.85)-6.5)+3.2)+-0.3)+0.3</f>
        <v>-39.161851747358696</v>
      </c>
      <c r="F2760" s="4">
        <f>((-1.1415684*(1.3/1.5))*0.6)-0.3</f>
        <v>-0.89361556799999997</v>
      </c>
    </row>
    <row r="2761" spans="1:6" x14ac:dyDescent="0.4">
      <c r="A2761" s="4">
        <v>2414.2180750000002</v>
      </c>
      <c r="B2761" s="4">
        <v>1.3048230000000001</v>
      </c>
      <c r="C2761" s="4">
        <v>1.3483717</v>
      </c>
      <c r="D2761" s="4">
        <v>-30.823453000000001</v>
      </c>
      <c r="E2761" s="4">
        <f>(((((((((-30.9813183/(10/9))+-10.5)+-0.4)*0.98)*1.11)*0.85)-6.5)+3.2)+-0.3)+0.3</f>
        <v>-39.160097705756094</v>
      </c>
      <c r="F2761" s="4">
        <f>((-1.1418822*(1.3/1.5))*0.6)-0.3</f>
        <v>-0.89377874400000001</v>
      </c>
    </row>
    <row r="2762" spans="1:6" x14ac:dyDescent="0.4">
      <c r="A2762" s="4">
        <v>2415.0929999999998</v>
      </c>
      <c r="B2762" s="4">
        <v>1.3049442</v>
      </c>
      <c r="C2762" s="4">
        <v>1.3486547</v>
      </c>
      <c r="D2762" s="4">
        <v>-30.826758999999999</v>
      </c>
      <c r="E2762" s="4">
        <f>(((((((((-30.9666141/(10/9))+-10.5)+-0.4)*0.98)*1.11)*0.85)-6.5)+3.2)+-0.3)+0.3</f>
        <v>-39.147861355754699</v>
      </c>
      <c r="F2762" s="4">
        <f>((-1.142344*(1.3/1.5))*0.6)-0.3</f>
        <v>-0.89401887999999996</v>
      </c>
    </row>
    <row r="2763" spans="1:6" x14ac:dyDescent="0.4">
      <c r="A2763" s="4">
        <v>2415.9679249999999</v>
      </c>
      <c r="B2763" s="4">
        <v>1.3052182000000001</v>
      </c>
      <c r="C2763" s="4">
        <v>1.3488994999999999</v>
      </c>
      <c r="D2763" s="4">
        <v>-30.829812</v>
      </c>
      <c r="E2763" s="4">
        <f>(((((((((-30.9729753/(10/9))+-10.5)+-0.4)*0.98)*1.11)*0.85)-6.5)+3.2)+-0.3)+0.3</f>
        <v>-39.153154936475097</v>
      </c>
      <c r="F2763" s="4">
        <f>((-1.1428915*(1.3/1.5))*0.6)-0.3</f>
        <v>-0.89430357999999988</v>
      </c>
    </row>
    <row r="2764" spans="1:6" x14ac:dyDescent="0.4">
      <c r="A2764" s="4">
        <v>2416.84285</v>
      </c>
      <c r="B2764" s="4">
        <v>1.3054654999999999</v>
      </c>
      <c r="C2764" s="4">
        <v>1.3493151999999999</v>
      </c>
      <c r="D2764" s="4">
        <v>-30.832656</v>
      </c>
      <c r="E2764" s="4">
        <f>(((((((((-30.9740913/(10/9))+-10.5)+-0.4)*0.98)*1.11)*0.85)-6.5)+3.2)+-0.3)+0.3</f>
        <v>-39.15408363484709</v>
      </c>
      <c r="F2764" s="4">
        <f>((-1.1433853*(1.3/1.5))*0.6)-0.3</f>
        <v>-0.89456035599999995</v>
      </c>
    </row>
    <row r="2765" spans="1:6" x14ac:dyDescent="0.4">
      <c r="A2765" s="4">
        <v>2417.7177750000001</v>
      </c>
      <c r="B2765" s="4">
        <v>1.3057245</v>
      </c>
      <c r="C2765" s="4">
        <v>1.3493109000000001</v>
      </c>
      <c r="D2765" s="4">
        <v>-30.835623999999999</v>
      </c>
      <c r="E2765" s="4">
        <f>(((((((((-30.9816378/(10/9))+-10.5)+-0.4)*0.98)*1.11)*0.85)-6.5)+3.2)+-0.3)+0.3</f>
        <v>-39.160363583112606</v>
      </c>
      <c r="F2765" s="4">
        <f>((-1.1441364*(1.3/1.5))*0.6)-0.3</f>
        <v>-0.89495092800000009</v>
      </c>
    </row>
    <row r="2766" spans="1:6" x14ac:dyDescent="0.4">
      <c r="A2766" s="4">
        <v>2418.5927000000001</v>
      </c>
      <c r="B2766" s="4">
        <v>1.3056151</v>
      </c>
      <c r="C2766" s="4">
        <v>1.3494819</v>
      </c>
      <c r="D2766" s="4">
        <v>-30.839338999999999</v>
      </c>
      <c r="E2766" s="4">
        <f>(((((((((-30.9739302/(10/9))+-10.5)+-0.4)*0.98)*1.11)*0.85)-6.5)+3.2)+-0.3)+0.3</f>
        <v>-39.153949572743393</v>
      </c>
      <c r="F2766" s="4">
        <f>((-1.1448945*(1.3/1.5))*0.6)-0.3</f>
        <v>-0.89534513999999987</v>
      </c>
    </row>
    <row r="2767" spans="1:6" x14ac:dyDescent="0.4">
      <c r="A2767" s="4">
        <v>2419.4676250000002</v>
      </c>
      <c r="B2767" s="4">
        <v>1.3059905000000001</v>
      </c>
      <c r="C2767" s="4">
        <v>1.3499336</v>
      </c>
      <c r="D2767" s="4">
        <v>-30.842472999999998</v>
      </c>
      <c r="E2767" s="4">
        <f>(((((((((-30.9540654/(10/9))+-10.5)+-0.4)*0.98)*1.11)*0.85)-6.5)+3.2)+-0.3)+0.3</f>
        <v>-39.137418741721795</v>
      </c>
      <c r="F2767" s="4">
        <f>((-1.1457021*(1.3/1.5))*0.6)-0.3</f>
        <v>-0.89576509199999999</v>
      </c>
    </row>
    <row r="2768" spans="1:6" x14ac:dyDescent="0.4">
      <c r="A2768" s="4">
        <v>2420.3425499999998</v>
      </c>
      <c r="B2768" s="4">
        <v>1.306524</v>
      </c>
      <c r="C2768" s="4">
        <v>1.3501326</v>
      </c>
      <c r="D2768" s="4">
        <v>-30.845209999999998</v>
      </c>
      <c r="E2768" s="4">
        <f>(((((((((-30.9708981/(10/9))+-10.5)+-0.4)*0.98)*1.11)*0.85)-6.5)+3.2)+-0.3)+0.3</f>
        <v>-39.1514263591827</v>
      </c>
      <c r="F2768" s="4">
        <f>((-1.1464554*(1.3/1.5))*0.6)-0.3</f>
        <v>-0.89615680799999997</v>
      </c>
    </row>
    <row r="2769" spans="1:6" x14ac:dyDescent="0.4">
      <c r="A2769" s="4">
        <v>2421.2174749999999</v>
      </c>
      <c r="B2769" s="4">
        <v>1.3062978999999999</v>
      </c>
      <c r="C2769" s="4">
        <v>1.3499234</v>
      </c>
      <c r="D2769" s="4">
        <v>-30.847648</v>
      </c>
      <c r="E2769" s="4">
        <f>(((((((((-30.9807522/(10/9))+-10.5)+-0.4)*0.98)*1.11)*0.85)-6.5)+3.2)+-0.3)+0.3</f>
        <v>-39.159626616017398</v>
      </c>
      <c r="F2769" s="4">
        <f>((-1.1472474*(1.3/1.5))*0.6)-0.3</f>
        <v>-0.89656864799999991</v>
      </c>
    </row>
    <row r="2770" spans="1:6" x14ac:dyDescent="0.4">
      <c r="A2770" s="4">
        <v>2422.0924</v>
      </c>
      <c r="B2770" s="4">
        <v>1.3061384</v>
      </c>
      <c r="C2770" s="4">
        <v>1.3498173</v>
      </c>
      <c r="D2770" s="4">
        <v>-30.850141000000001</v>
      </c>
      <c r="E2770" s="4">
        <f>(((((((((-30.9376575/(10/9))+-10.5)+-0.4)*0.98)*1.11)*0.85)-6.5)+3.2)+-0.3)+0.3</f>
        <v>-39.123764628802498</v>
      </c>
      <c r="F2770" s="4">
        <f>((-1.1481222*(1.3/1.5))*0.6)-0.3</f>
        <v>-0.89702354400000006</v>
      </c>
    </row>
    <row r="2771" spans="1:6" x14ac:dyDescent="0.4">
      <c r="A2771" s="4">
        <v>2422.9673250000001</v>
      </c>
      <c r="B2771" s="4">
        <v>1.3064268999999999</v>
      </c>
      <c r="C2771" s="4">
        <v>1.3501459</v>
      </c>
      <c r="D2771" s="4">
        <v>-30.852318999999998</v>
      </c>
      <c r="E2771" s="4">
        <f>(((((((((-30.9282921/(10/9))+-10.5)+-0.4)*0.98)*1.11)*0.85)-6.5)+3.2)+-0.3)+0.3</f>
        <v>-39.115971051980701</v>
      </c>
      <c r="F2771" s="4">
        <f>((-1.1490664*(1.3/1.5))*0.6)-0.3</f>
        <v>-0.89751452799999987</v>
      </c>
    </row>
    <row r="2772" spans="1:6" x14ac:dyDescent="0.4">
      <c r="A2772" s="4">
        <v>2423.8422500000001</v>
      </c>
      <c r="B2772" s="4">
        <v>1.3066131999999999</v>
      </c>
      <c r="C2772" s="4">
        <v>1.3505117</v>
      </c>
      <c r="D2772" s="4">
        <v>-30.854313999999999</v>
      </c>
      <c r="E2772" s="4">
        <f>(((((((((-30.9410982/(10/9))+-10.5)+-0.4)*0.98)*1.11)*0.85)-6.5)+3.2)+-0.3)+0.3</f>
        <v>-39.126627865799399</v>
      </c>
      <c r="F2772" s="4">
        <f>((-1.1501526*(1.3/1.5))*0.6)-0.3</f>
        <v>-0.89807935199999989</v>
      </c>
    </row>
    <row r="2773" spans="1:6" x14ac:dyDescent="0.4">
      <c r="A2773" s="4">
        <v>2424.7171749999998</v>
      </c>
      <c r="B2773" s="4">
        <v>1.3067986</v>
      </c>
      <c r="C2773" s="4">
        <v>1.3507013000000001</v>
      </c>
      <c r="D2773" s="4">
        <v>-30.856522999999999</v>
      </c>
      <c r="E2773" s="4">
        <f>(((((((((-30.9442221/(10/9))+-10.5)+-0.4)*0.98)*1.11)*0.85)-6.5)+3.2)+-0.3)+0.3</f>
        <v>-39.129227472290701</v>
      </c>
      <c r="F2773" s="4">
        <f>((-1.151281*(1.3/1.5))*0.6)-0.3</f>
        <v>-0.8986661199999999</v>
      </c>
    </row>
    <row r="2774" spans="1:6" x14ac:dyDescent="0.4">
      <c r="A2774" s="4">
        <v>2425.5921000000003</v>
      </c>
      <c r="B2774" s="4">
        <v>1.3070330999999999</v>
      </c>
      <c r="C2774" s="4">
        <v>1.3505058999999999</v>
      </c>
      <c r="D2774" s="4">
        <v>-30.858089</v>
      </c>
      <c r="E2774" s="4">
        <f>(((((((((-30.9409641/(10/9))+-10.5)+-0.4)*0.98)*1.11)*0.85)-6.5)+3.2)+-0.3)+0.3</f>
        <v>-39.126516272204697</v>
      </c>
      <c r="F2774" s="4">
        <f>((-1.1524634*(1.3/1.5))*0.6)-0.3</f>
        <v>-0.89928096800000001</v>
      </c>
    </row>
    <row r="2775" spans="1:6" x14ac:dyDescent="0.4">
      <c r="A2775" s="4">
        <v>2426.4670249999999</v>
      </c>
      <c r="B2775" s="4">
        <v>1.307156</v>
      </c>
      <c r="C2775" s="4">
        <v>1.351124</v>
      </c>
      <c r="D2775" s="4">
        <v>-30.860298999999998</v>
      </c>
      <c r="E2775" s="4">
        <f>(((((((((-30.9378537/(10/9))+-10.5)+-0.4)*0.98)*1.11)*0.85)-6.5)+3.2)+-0.3)+0.3</f>
        <v>-39.123927899967896</v>
      </c>
      <c r="F2775" s="4">
        <f>((-1.1537863*(1.3/1.5))*0.6)-0.3</f>
        <v>-0.89996887599999997</v>
      </c>
    </row>
    <row r="2776" spans="1:6" x14ac:dyDescent="0.4">
      <c r="A2776" s="4">
        <v>2427.34195</v>
      </c>
      <c r="B2776" s="4">
        <v>1.3074912000000001</v>
      </c>
      <c r="C2776" s="4">
        <v>1.3512538999999999</v>
      </c>
      <c r="D2776" s="4">
        <v>-30.862375999999998</v>
      </c>
      <c r="E2776" s="4">
        <f>(((((((((-30.9213603/(10/9))+-10.5)+-0.4)*0.98)*1.11)*0.85)-6.5)+3.2)+-0.3)+0.3</f>
        <v>-39.110202636770097</v>
      </c>
      <c r="F2776" s="4">
        <f>((-1.1552001*(1.3/1.5))*0.6)-0.3</f>
        <v>-0.90070405200000003</v>
      </c>
    </row>
    <row r="2777" spans="1:6" x14ac:dyDescent="0.4">
      <c r="A2777" s="4">
        <v>2428.2168750000001</v>
      </c>
      <c r="B2777" s="4">
        <v>1.3075593999999999</v>
      </c>
      <c r="C2777" s="4">
        <v>1.3510933999999999</v>
      </c>
      <c r="D2777" s="4">
        <v>-30.864349000000001</v>
      </c>
      <c r="E2777" s="4">
        <f>(((((((((-30.9240729/(10/9))+-10.5)+-0.4)*0.98)*1.11)*0.85)-6.5)+3.2)+-0.3)+0.3</f>
        <v>-39.112459972974293</v>
      </c>
      <c r="F2777" s="4">
        <f>((-1.1566392*(1.3/1.5))*0.6)-0.3</f>
        <v>-0.90145238400000016</v>
      </c>
    </row>
    <row r="2778" spans="1:6" x14ac:dyDescent="0.4">
      <c r="A2778" s="4">
        <v>2429.0917999999997</v>
      </c>
      <c r="B2778" s="4">
        <v>1.3077087000000001</v>
      </c>
      <c r="C2778" s="4">
        <v>1.351256</v>
      </c>
      <c r="D2778" s="4">
        <v>-30.865887999999998</v>
      </c>
      <c r="E2778" s="4">
        <f>(((((((((-30.9183084/(10/9))+-10.5)+-0.4)*0.98)*1.11)*0.85)-6.5)+3.2)+-0.3)+0.3</f>
        <v>-39.107662946302796</v>
      </c>
      <c r="F2778" s="4">
        <f>((-1.1580987*(1.3/1.5))*0.6)-0.3</f>
        <v>-0.90221132400000004</v>
      </c>
    </row>
    <row r="2779" spans="1:6" x14ac:dyDescent="0.4">
      <c r="A2779" s="4">
        <v>2429.9667250000002</v>
      </c>
      <c r="B2779" s="4">
        <v>1.3079826999999999</v>
      </c>
      <c r="C2779" s="4">
        <v>1.3513447000000001</v>
      </c>
      <c r="D2779" s="4">
        <v>-30.867345</v>
      </c>
      <c r="E2779" s="4">
        <f>(((((((((-30.9046923/(10/9))+-10.5)+-0.4)*0.98)*1.11)*0.85)-6.5)+3.2)+-0.3)+0.3</f>
        <v>-39.0963320772141</v>
      </c>
      <c r="F2779" s="4">
        <f>((-1.1595868*(1.3/1.5))*0.6)-0.3</f>
        <v>-0.90298513600000008</v>
      </c>
    </row>
    <row r="2780" spans="1:6" x14ac:dyDescent="0.4">
      <c r="A2780" s="4">
        <v>2430.8416499999998</v>
      </c>
      <c r="B2780" s="4">
        <v>1.3079296</v>
      </c>
      <c r="C2780" s="4">
        <v>1.3514189999999999</v>
      </c>
      <c r="D2780" s="4">
        <v>-30.86843</v>
      </c>
      <c r="E2780" s="4">
        <f>(((((((((-30.9047742/(10/9))+-10.5)+-0.4)*0.98)*1.11)*0.85)-6.5)+3.2)+-0.3)+0.3</f>
        <v>-39.096400231691391</v>
      </c>
      <c r="F2780" s="4">
        <f>((-1.1612557*(1.3/1.5))*0.6)-0.3</f>
        <v>-0.90385296399999993</v>
      </c>
    </row>
    <row r="2781" spans="1:6" x14ac:dyDescent="0.4">
      <c r="A2781" s="4">
        <v>2431.7165750000004</v>
      </c>
      <c r="B2781" s="4">
        <v>1.3083194</v>
      </c>
      <c r="C2781" s="4">
        <v>1.3517427</v>
      </c>
      <c r="D2781" s="4">
        <v>-30.869524999999999</v>
      </c>
      <c r="E2781" s="4">
        <f>(((((((((-30.9183291/(10/9))+-10.5)+-0.4)*0.98)*1.11)*0.85)-6.5)+3.2)+-0.3)+0.3</f>
        <v>-39.107680172159696</v>
      </c>
      <c r="F2781" s="4">
        <f>((-1.1629753*(1.3/1.5))*0.6)-0.3</f>
        <v>-0.904747156</v>
      </c>
    </row>
    <row r="2782" spans="1:6" x14ac:dyDescent="0.4">
      <c r="A2782" s="4">
        <v>2432.5915</v>
      </c>
      <c r="B2782" s="4">
        <v>1.3082598000000001</v>
      </c>
      <c r="C2782" s="4">
        <v>1.3517325</v>
      </c>
      <c r="D2782" s="4">
        <v>-30.870418000000001</v>
      </c>
      <c r="E2782" s="4">
        <f>(((((((((-30.8965005/(10/9))+-10.5)+-0.4)*0.98)*1.11)*0.85)-6.5)+3.2)+-0.3)+0.3</f>
        <v>-39.089515131583497</v>
      </c>
      <c r="F2782" s="4">
        <f>((-1.1646903*(1.3/1.5))*0.6)-0.3</f>
        <v>-0.90563895599999999</v>
      </c>
    </row>
    <row r="2783" spans="1:6" x14ac:dyDescent="0.4">
      <c r="A2783" s="4">
        <v>2433.4664249999996</v>
      </c>
      <c r="B2783" s="4">
        <v>1.3087702999999999</v>
      </c>
      <c r="C2783" s="4">
        <v>1.3521657</v>
      </c>
      <c r="D2783" s="4">
        <v>-30.870891</v>
      </c>
      <c r="E2783" s="4">
        <f>(((((((((-30.9054924/(10/9))+-10.5)+-0.4)*0.98)*1.11)*0.85)-6.5)+3.2)+-0.3)+0.3</f>
        <v>-39.096997894030793</v>
      </c>
      <c r="F2783" s="4">
        <f>((-1.1664642*(1.3/1.5))*0.6)-0.3</f>
        <v>-0.90656138399999997</v>
      </c>
    </row>
    <row r="2784" spans="1:6" x14ac:dyDescent="0.4">
      <c r="A2784" s="4">
        <v>2434.3413500000001</v>
      </c>
      <c r="B2784" s="4">
        <v>1.3087089000000001</v>
      </c>
      <c r="C2784" s="4">
        <v>1.3521156000000001</v>
      </c>
      <c r="D2784" s="4">
        <v>-30.871445999999999</v>
      </c>
      <c r="E2784" s="4">
        <f>(((((((((-30.9134331/(10/9))+-10.5)+-0.4)*0.98)*1.11)*0.85)-6.5)+3.2)+-0.3)+0.3</f>
        <v>-39.103605882527688</v>
      </c>
      <c r="F2784" s="4">
        <f>((-1.1682147*(1.3/1.5))*0.6)-0.3</f>
        <v>-0.90747164399999991</v>
      </c>
    </row>
    <row r="2785" spans="1:6" x14ac:dyDescent="0.4">
      <c r="A2785" s="4">
        <v>2435.2162749999998</v>
      </c>
      <c r="B2785" s="4">
        <v>1.3086243</v>
      </c>
      <c r="C2785" s="4">
        <v>1.3522609000000001</v>
      </c>
      <c r="D2785" s="4">
        <v>-30.871831</v>
      </c>
      <c r="E2785" s="4">
        <f>(((((((((-30.8658042/(10/9))+-10.5)+-0.4)*0.98)*1.11)*0.85)-6.5)+3.2)+-0.3)+0.3</f>
        <v>-39.063970683701392</v>
      </c>
      <c r="F2785" s="4">
        <f>((-1.1699187*(1.3/1.5))*0.6)-0.3</f>
        <v>-0.90835772399999981</v>
      </c>
    </row>
    <row r="2786" spans="1:6" x14ac:dyDescent="0.4">
      <c r="A2786" s="4">
        <v>2436.0912000000003</v>
      </c>
      <c r="B2786" s="4">
        <v>1.3088341999999999</v>
      </c>
      <c r="C2786" s="4">
        <v>1.3523381000000001</v>
      </c>
      <c r="D2786" s="4">
        <v>-30.871804000000001</v>
      </c>
      <c r="E2786" s="4">
        <f>(((((((((-30.8829114/(10/9))+-10.5)+-0.4)*0.98)*1.11)*0.85)-6.5)+3.2)+-0.3)+0.3</f>
        <v>-39.078206731003796</v>
      </c>
      <c r="F2786" s="4">
        <f>((-1.1717219*(1.3/1.5))*0.6)-0.3</f>
        <v>-0.90929538799999987</v>
      </c>
    </row>
    <row r="2787" spans="1:6" x14ac:dyDescent="0.4">
      <c r="A2787" s="4">
        <v>2436.9661249999999</v>
      </c>
      <c r="B2787" s="4">
        <v>1.3092206</v>
      </c>
      <c r="C2787" s="4">
        <v>1.3526254</v>
      </c>
      <c r="D2787" s="4">
        <v>-30.872035</v>
      </c>
      <c r="E2787" s="4">
        <f>(((((((((-30.8983059/(10/9))+-10.5)+-0.4)*0.98)*1.11)*0.85)-6.5)+3.2)+-0.3)+0.3</f>
        <v>-39.091017525885292</v>
      </c>
      <c r="F2787" s="4">
        <f>((-1.1736116*(1.3/1.5))*0.6)-0.3</f>
        <v>-0.9102780319999999</v>
      </c>
    </row>
    <row r="2788" spans="1:6" x14ac:dyDescent="0.4">
      <c r="A2788" s="4">
        <v>2437.84105</v>
      </c>
      <c r="B2788" s="4">
        <v>1.3092741000000001</v>
      </c>
      <c r="C2788" s="4">
        <v>1.3526762000000001</v>
      </c>
      <c r="D2788" s="4">
        <v>-30.87218</v>
      </c>
      <c r="E2788" s="4">
        <f>(((((((((-30.8686707/(10/9))+-10.5)+-0.4)*0.98)*1.11)*0.85)-6.5)+3.2)+-0.3)+0.3</f>
        <v>-39.066356090406899</v>
      </c>
      <c r="F2788" s="4">
        <f>((-1.1755733*(1.3/1.5))*0.6)-0.3</f>
        <v>-0.91129811599999999</v>
      </c>
    </row>
    <row r="2789" spans="1:6" x14ac:dyDescent="0.4">
      <c r="A2789" s="4">
        <v>2438.7159750000001</v>
      </c>
      <c r="B2789" s="4">
        <v>1.3095144000000001</v>
      </c>
      <c r="C2789" s="4">
        <v>1.3528856</v>
      </c>
      <c r="D2789" s="4">
        <v>-30.872266</v>
      </c>
      <c r="E2789" s="4">
        <f>(((((((((-30.8496132/(10/9))+-10.5)+-0.4)*0.98)*1.11)*0.85)-6.5)+3.2)+-0.3)+0.3</f>
        <v>-39.0504970678044</v>
      </c>
      <c r="F2789" s="4">
        <f>((-1.1775709*(1.3/1.5))*0.6)-0.3</f>
        <v>-0.91233686800000013</v>
      </c>
    </row>
    <row r="2790" spans="1:6" x14ac:dyDescent="0.4">
      <c r="A2790" s="4">
        <v>2439.5908999999997</v>
      </c>
      <c r="B2790" s="4">
        <v>1.3099706</v>
      </c>
      <c r="C2790" s="4">
        <v>1.3530468</v>
      </c>
      <c r="D2790" s="4">
        <v>-30.871323999999998</v>
      </c>
      <c r="E2790" s="4">
        <f>(((((((((-30.8777823/(10/9))+-10.5)+-0.4)*0.98)*1.11)*0.85)-6.5)+3.2)+-0.3)+0.3</f>
        <v>-39.073938463244097</v>
      </c>
      <c r="F2790" s="4">
        <f>((-1.1795299*(1.3/1.5))*0.6)-0.3</f>
        <v>-0.91335554799999996</v>
      </c>
    </row>
    <row r="2791" spans="1:6" x14ac:dyDescent="0.4">
      <c r="A2791" s="4">
        <v>2440.4658250000002</v>
      </c>
      <c r="B2791" s="4">
        <v>1.3099411999999999</v>
      </c>
      <c r="C2791" s="4">
        <v>1.3534029000000001</v>
      </c>
      <c r="D2791" s="4">
        <v>-30.870571999999999</v>
      </c>
      <c r="E2791" s="4">
        <f>(((((((((-30.8916009/(10/9))+-10.5)+-0.4)*0.98)*1.11)*0.85)-6.5)+3.2)+-0.3)+0.3</f>
        <v>-39.085437846150299</v>
      </c>
      <c r="F2791" s="4">
        <f>((-1.1816089*(1.3/1.5))*0.6)-0.3</f>
        <v>-0.91443662800000003</v>
      </c>
    </row>
    <row r="2792" spans="1:6" x14ac:dyDescent="0.4">
      <c r="A2792" s="4">
        <v>2441.3407499999998</v>
      </c>
      <c r="B2792" s="4">
        <v>1.3103696</v>
      </c>
      <c r="C2792" s="4">
        <v>1.3535938000000001</v>
      </c>
      <c r="D2792" s="4">
        <v>-30.870127999999998</v>
      </c>
      <c r="E2792" s="4">
        <f>(((((((((-30.8502306/(10/9))+-10.5)+-0.4)*0.98)*1.11)*0.85)-6.5)+3.2)+-0.3)+0.3</f>
        <v>-39.051010847710195</v>
      </c>
      <c r="F2792" s="4">
        <f>((-1.1836087*(1.3/1.5))*0.6)-0.3</f>
        <v>-0.91547652400000001</v>
      </c>
    </row>
    <row r="2793" spans="1:6" x14ac:dyDescent="0.4">
      <c r="A2793" s="4">
        <v>2442.2156749999999</v>
      </c>
      <c r="B2793" s="4">
        <v>1.3101928</v>
      </c>
      <c r="C2793" s="4">
        <v>1.3534687000000001</v>
      </c>
      <c r="D2793" s="4">
        <v>-30.869250000000001</v>
      </c>
      <c r="E2793" s="4">
        <f>(((((((((-30.867273/(10/9))+-10.5)+-0.4)*0.98)*1.11)*0.85)-6.5)+3.2)+-0.3)+0.3</f>
        <v>-39.065192970590999</v>
      </c>
      <c r="F2793" s="4">
        <f>((-1.1856173*(1.3/1.5))*0.6)-0.3</f>
        <v>-0.91652099600000003</v>
      </c>
    </row>
    <row r="2794" spans="1:6" x14ac:dyDescent="0.4">
      <c r="A2794" s="4">
        <v>2443.0906</v>
      </c>
      <c r="B2794" s="4">
        <v>1.3106487</v>
      </c>
      <c r="C2794" s="4">
        <v>1.3536564</v>
      </c>
      <c r="D2794" s="4">
        <v>-30.867998999999998</v>
      </c>
      <c r="E2794" s="4">
        <f>(((((((((-30.8607228/(10/9))+-10.5)+-0.4)*0.98)*1.11)*0.85)-6.5)+3.2)+-0.3)+0.3</f>
        <v>-39.059742110307603</v>
      </c>
      <c r="F2794" s="4">
        <f>((-1.1875668*(1.3/1.5))*0.6)-0.3</f>
        <v>-0.91753473599999991</v>
      </c>
    </row>
    <row r="2795" spans="1:6" x14ac:dyDescent="0.4">
      <c r="A2795" s="4">
        <v>2443.9655250000001</v>
      </c>
      <c r="B2795" s="4">
        <v>1.3105745</v>
      </c>
      <c r="C2795" s="4">
        <v>1.3539193</v>
      </c>
      <c r="D2795" s="4">
        <v>-30.866493999999999</v>
      </c>
      <c r="E2795" s="4">
        <f>(((((((((-30.8276775/(10/9))+-10.5)+-0.4)*0.98)*1.11)*0.85)-6.5)+3.2)+-0.3)+0.3</f>
        <v>-39.032242902142492</v>
      </c>
      <c r="F2795" s="4">
        <f>((-1.1895218*(1.3/1.5))*0.6)-0.3</f>
        <v>-0.91855133600000016</v>
      </c>
    </row>
    <row r="2796" spans="1:6" x14ac:dyDescent="0.4">
      <c r="A2796" s="4">
        <v>2444.8404500000001</v>
      </c>
      <c r="B2796" s="4">
        <v>1.3105097000000001</v>
      </c>
      <c r="C2796" s="4">
        <v>1.3541270000000001</v>
      </c>
      <c r="D2796" s="4">
        <v>-30.865421999999999</v>
      </c>
      <c r="E2796" s="4">
        <f>(((((((((-30.8471688/(10/9))+-10.5)+-0.4)*0.98)*1.11)*0.85)-6.5)+3.2)+-0.3)+0.3</f>
        <v>-39.048462918789596</v>
      </c>
      <c r="F2796" s="4">
        <f>((-1.1915166*(1.3/1.5))*0.6)-0.3</f>
        <v>-0.91958863199999996</v>
      </c>
    </row>
    <row r="2797" spans="1:6" x14ac:dyDescent="0.4">
      <c r="A2797" s="4">
        <v>2445.7153750000002</v>
      </c>
      <c r="B2797" s="4">
        <v>1.3108841</v>
      </c>
      <c r="C2797" s="4">
        <v>1.3540707000000001</v>
      </c>
      <c r="D2797" s="4">
        <v>-30.863872000000001</v>
      </c>
      <c r="E2797" s="4">
        <f>(((((((((-30.8565891/(10/9))+-10.5)+-0.4)*0.98)*1.11)*0.85)-6.5)+3.2)+-0.3)+0.3</f>
        <v>-39.056302181579696</v>
      </c>
      <c r="F2797" s="4">
        <f>((-1.1935542*(1.3/1.5))*0.6)-0.3</f>
        <v>-0.92064818399999981</v>
      </c>
    </row>
    <row r="2798" spans="1:6" x14ac:dyDescent="0.4">
      <c r="A2798" s="4">
        <v>2446.5902999999998</v>
      </c>
      <c r="B2798" s="4">
        <v>1.310964</v>
      </c>
      <c r="C2798" s="4">
        <v>1.3544565</v>
      </c>
      <c r="D2798" s="4">
        <v>-30.86206</v>
      </c>
      <c r="E2798" s="4">
        <f>(((((((((-30.858192/(10/9))+-10.5)+-0.4)*0.98)*1.11)*0.85)-6.5)+3.2)+-0.3)+0.3</f>
        <v>-39.057636062063992</v>
      </c>
      <c r="F2798" s="4">
        <f>((-1.1955031*(1.3/1.5))*0.6)-0.3</f>
        <v>-0.92166161200000007</v>
      </c>
    </row>
    <row r="2799" spans="1:6" x14ac:dyDescent="0.4">
      <c r="A2799" s="4">
        <v>2447.4652249999999</v>
      </c>
      <c r="B2799" s="4">
        <v>1.3114821000000001</v>
      </c>
      <c r="C2799" s="4">
        <v>1.3545335999999999</v>
      </c>
      <c r="D2799" s="4">
        <v>-30.860122</v>
      </c>
      <c r="E2799" s="4">
        <f>(((((((((-30.8198403/(10/9))+-10.5)+-0.4)*0.98)*1.11)*0.85)-6.5)+3.2)+-0.3)+0.3</f>
        <v>-39.025721042930094</v>
      </c>
      <c r="F2799" s="4">
        <f>((-1.1974902*(1.3/1.5))*0.6)-0.3</f>
        <v>-0.92269490400000009</v>
      </c>
    </row>
    <row r="2800" spans="1:6" x14ac:dyDescent="0.4">
      <c r="A2800" s="4">
        <v>2448.34015</v>
      </c>
      <c r="B2800" s="4">
        <v>1.3115308000000001</v>
      </c>
      <c r="C2800" s="4">
        <v>1.3544799000000001</v>
      </c>
      <c r="D2800" s="4">
        <v>-30.858401000000001</v>
      </c>
      <c r="E2800" s="4">
        <f>(((((((((-30.855267/(10/9))+-10.5)+-0.4)*0.98)*1.11)*0.85)-6.5)+3.2)+-0.3)+0.3</f>
        <v>-39.055201973588993</v>
      </c>
      <c r="F2800" s="4">
        <f>((-1.1994114*(1.3/1.5))*0.6)-0.3</f>
        <v>-0.92369392800000005</v>
      </c>
    </row>
    <row r="2801" spans="1:6" x14ac:dyDescent="0.4">
      <c r="A2801" s="4">
        <v>2449.2150750000001</v>
      </c>
      <c r="B2801" s="4">
        <v>1.3116086</v>
      </c>
      <c r="C2801" s="4">
        <v>1.3545914999999999</v>
      </c>
      <c r="D2801" s="4">
        <v>-30.856083999999999</v>
      </c>
      <c r="E2801" s="4">
        <f>(((((((((-30.8442195/(10/9))+-10.5)+-0.4)*0.98)*1.11)*0.85)-6.5)+3.2)+-0.3)+0.3</f>
        <v>-39.0460086086565</v>
      </c>
      <c r="F2801" s="4">
        <f>((-1.2013448*(1.3/1.5))*0.6)-0.3</f>
        <v>-0.924699296</v>
      </c>
    </row>
    <row r="2802" spans="1:6" x14ac:dyDescent="0.4">
      <c r="A2802" s="4">
        <v>2450.09</v>
      </c>
      <c r="B2802" s="4">
        <v>1.3114034999999999</v>
      </c>
      <c r="C2802" s="4">
        <v>1.3543509</v>
      </c>
      <c r="D2802" s="4">
        <v>-30.853909999999999</v>
      </c>
      <c r="E2802" s="4">
        <f>(((((((((-30.8326113/(10/9))+-10.5)+-0.4)*0.98)*1.11)*0.85)-6.5)+3.2)+-0.3)+0.3</f>
        <v>-39.036348647687099</v>
      </c>
      <c r="F2802" s="4">
        <f>((-1.2032139*(1.3/1.5))*0.6)-0.3</f>
        <v>-0.9256712279999999</v>
      </c>
    </row>
    <row r="2803" spans="1:6" x14ac:dyDescent="0.4">
      <c r="A2803" s="4">
        <v>2450.9649249999998</v>
      </c>
      <c r="B2803" s="4">
        <v>1.3121765000000001</v>
      </c>
      <c r="C2803" s="4">
        <v>1.3547336999999999</v>
      </c>
      <c r="D2803" s="4">
        <v>-30.852036999999999</v>
      </c>
      <c r="E2803" s="4">
        <f>(((((((((-30.8462616/(10/9))+-10.5)+-0.4)*0.98)*1.11)*0.85)-6.5)+3.2)+-0.3)+0.3</f>
        <v>-39.047707976887189</v>
      </c>
      <c r="F2803" s="4">
        <f>((-1.2050453*(1.3/1.5))*0.6)-0.3</f>
        <v>-0.92662355600000001</v>
      </c>
    </row>
    <row r="2804" spans="1:6" x14ac:dyDescent="0.4">
      <c r="A2804" s="4">
        <v>2451.8398500000003</v>
      </c>
      <c r="B2804" s="4">
        <v>1.3122327</v>
      </c>
      <c r="C2804" s="4">
        <v>1.3551384</v>
      </c>
      <c r="D2804" s="4">
        <v>-30.849851000000001</v>
      </c>
      <c r="E2804" s="4">
        <f>(((((((((-30.8510136/(10/9))+-10.5)+-0.4)*0.98)*1.11)*0.85)-6.5)+3.2)+-0.3)+0.3</f>
        <v>-39.051662434471197</v>
      </c>
      <c r="F2804" s="4">
        <f>((-1.2068201*(1.3/1.5))*0.6)-0.3</f>
        <v>-0.92754645200000008</v>
      </c>
    </row>
    <row r="2805" spans="1:6" x14ac:dyDescent="0.4">
      <c r="A2805" s="4">
        <v>2452.7147749999999</v>
      </c>
      <c r="B2805" s="4">
        <v>1.3123438000000001</v>
      </c>
      <c r="C2805" s="4">
        <v>1.3550884999999999</v>
      </c>
      <c r="D2805" s="4">
        <v>-30.847532000000001</v>
      </c>
      <c r="E2805" s="4">
        <f>(((((((((-30.8287728/(10/9))+-10.5)+-0.4)*0.98)*1.11)*0.85)-6.5)+3.2)+-0.3)+0.3</f>
        <v>-39.033154374657592</v>
      </c>
      <c r="F2805" s="4">
        <f>((-1.2085159*(1.3/1.5))*0.6)-0.3</f>
        <v>-0.928428268</v>
      </c>
    </row>
    <row r="2806" spans="1:6" x14ac:dyDescent="0.4">
      <c r="A2806" s="4">
        <v>2453.5897</v>
      </c>
      <c r="B2806" s="4">
        <v>1.3123878</v>
      </c>
      <c r="C2806" s="4">
        <v>1.3553873000000001</v>
      </c>
      <c r="D2806" s="4">
        <v>-30.844799999999999</v>
      </c>
      <c r="E2806" s="4">
        <f>(((((((((-30.8212101/(10/9))+-10.5)+-0.4)*0.98)*1.11)*0.85)-6.5)+3.2)+-0.3)+0.3</f>
        <v>-39.026860945286693</v>
      </c>
      <c r="F2806" s="4">
        <f>((-1.2101746*(1.3/1.5))*0.6)-0.3</f>
        <v>-0.92929079199999998</v>
      </c>
    </row>
    <row r="2807" spans="1:6" x14ac:dyDescent="0.4">
      <c r="A2807" s="4">
        <v>2454.4646250000001</v>
      </c>
      <c r="B2807" s="4">
        <v>1.3125768</v>
      </c>
      <c r="C2807" s="4">
        <v>1.3554478000000001</v>
      </c>
      <c r="D2807" s="4">
        <v>-30.842310999999999</v>
      </c>
      <c r="E2807" s="4">
        <f>(((((((((-30.841497/(10/9))+-10.5)+-0.4)*0.98)*1.11)*0.85)-6.5)+3.2)+-0.3)+0.3</f>
        <v>-39.043743033999</v>
      </c>
      <c r="F2807" s="4">
        <f>((-1.2118481*(1.3/1.5))*0.6)-0.3</f>
        <v>-0.93016101200000012</v>
      </c>
    </row>
    <row r="2808" spans="1:6" x14ac:dyDescent="0.4">
      <c r="A2808" s="4">
        <v>2455.3395499999997</v>
      </c>
      <c r="B2808" s="4">
        <v>1.3127773</v>
      </c>
      <c r="C2808" s="4">
        <v>1.3551644</v>
      </c>
      <c r="D2808" s="4">
        <v>-30.83982</v>
      </c>
      <c r="E2808" s="4">
        <f>(((((((((-30.8379978/(10/9))+-10.5)+-0.4)*0.98)*1.11)*0.85)-6.5)+3.2)+-0.3)+0.3</f>
        <v>-39.040831115232599</v>
      </c>
      <c r="F2808" s="4">
        <f>((-1.2134107*(1.3/1.5))*0.6)-0.3</f>
        <v>-0.93097356400000009</v>
      </c>
    </row>
    <row r="2809" spans="1:6" x14ac:dyDescent="0.4">
      <c r="A2809" s="4">
        <v>2456.2144750000002</v>
      </c>
      <c r="B2809" s="4">
        <v>1.3128796</v>
      </c>
      <c r="C2809" s="4">
        <v>1.3553587</v>
      </c>
      <c r="D2809" s="4">
        <v>-30.837083</v>
      </c>
      <c r="E2809" s="4">
        <f>(((((((((-30.8452662/(10/9))+-10.5)+-0.4)*0.98)*1.11)*0.85)-6.5)+3.2)+-0.3)+0.3</f>
        <v>-39.046879637855405</v>
      </c>
      <c r="F2809" s="4">
        <f>((-1.2149246*(1.3/1.5))*0.6)-0.3</f>
        <v>-0.93176079199999995</v>
      </c>
    </row>
    <row r="2810" spans="1:6" x14ac:dyDescent="0.4">
      <c r="A2810" s="4">
        <v>2457.0893999999998</v>
      </c>
      <c r="B2810" s="4">
        <v>1.3128793999999999</v>
      </c>
      <c r="C2810" s="4">
        <v>1.3560241</v>
      </c>
      <c r="D2810" s="4">
        <v>-30.834533</v>
      </c>
      <c r="E2810" s="4">
        <f>(((((((((-30.8432718/(10/9))+-10.5)+-0.4)*0.98)*1.11)*0.85)-6.5)+3.2)+-0.3)+0.3</f>
        <v>-39.04521996399059</v>
      </c>
      <c r="F2810" s="4">
        <f>((-1.2164192*(1.3/1.5))*0.6)-0.3</f>
        <v>-0.93253798399999988</v>
      </c>
    </row>
    <row r="2811" spans="1:6" x14ac:dyDescent="0.4">
      <c r="A2811" s="4">
        <v>2457.9643250000004</v>
      </c>
      <c r="B2811" s="4">
        <v>1.3135346999999999</v>
      </c>
      <c r="C2811" s="4">
        <v>1.3558823</v>
      </c>
      <c r="D2811" s="4">
        <v>-30.83184</v>
      </c>
      <c r="E2811" s="4">
        <f>(((((((((-30.8307366/(10/9))+-10.5)+-0.4)*0.98)*1.11)*0.85)-6.5)+3.2)+-0.3)+0.3</f>
        <v>-39.034788584212194</v>
      </c>
      <c r="F2811" s="4">
        <f>((-1.2178087*(1.3/1.5))*0.6)-0.3</f>
        <v>-0.93326052400000004</v>
      </c>
    </row>
    <row r="2812" spans="1:6" x14ac:dyDescent="0.4">
      <c r="A2812" s="4">
        <v>2458.83925</v>
      </c>
      <c r="B2812" s="4">
        <v>1.3137137999999999</v>
      </c>
      <c r="C2812" s="4">
        <v>1.3560920000000001</v>
      </c>
      <c r="D2812" s="4">
        <v>-30.829201999999999</v>
      </c>
      <c r="E2812" s="4">
        <f>(((((((((-30.8440782/(10/9))+-10.5)+-0.4)*0.98)*1.11)*0.85)-6.5)+3.2)+-0.3)+0.3</f>
        <v>-39.045891023459397</v>
      </c>
      <c r="F2812" s="4">
        <f>((-1.2190906*(1.3/1.5))*0.6)-0.3</f>
        <v>-0.93392711199999989</v>
      </c>
    </row>
    <row r="2813" spans="1:6" x14ac:dyDescent="0.4">
      <c r="A2813" s="4">
        <v>2459.7141749999996</v>
      </c>
      <c r="B2813" s="4">
        <v>1.3137401</v>
      </c>
      <c r="C2813" s="4">
        <v>1.3565037</v>
      </c>
      <c r="D2813" s="4">
        <v>-30.826657000000001</v>
      </c>
      <c r="E2813" s="4">
        <f>(((((((((-30.8474019/(10/9))+-10.5)+-0.4)*0.98)*1.11)*0.85)-6.5)+3.2)+-0.3)+0.3</f>
        <v>-39.048656896917301</v>
      </c>
      <c r="F2813" s="4">
        <f>((-1.2202768*(1.3/1.5))*0.6)-0.3</f>
        <v>-0.93454393599999985</v>
      </c>
    </row>
    <row r="2814" spans="1:6" x14ac:dyDescent="0.4">
      <c r="A2814" s="4">
        <v>2460.5891000000001</v>
      </c>
      <c r="B2814" s="4">
        <v>1.3139270999999999</v>
      </c>
      <c r="C2814" s="4">
        <v>1.3566438000000001</v>
      </c>
      <c r="D2814" s="4">
        <v>-30.823922</v>
      </c>
      <c r="E2814" s="4">
        <f>(((((((((-30.8320866/(10/9))+-10.5)+-0.4)*0.98)*1.11)*0.85)-6.5)+3.2)+-0.3)+0.3</f>
        <v>-39.035912009662198</v>
      </c>
      <c r="F2814" s="4">
        <f>((-1.2213627*(1.3/1.5))*0.6)-0.3</f>
        <v>-0.93510860400000007</v>
      </c>
    </row>
    <row r="2815" spans="1:6" x14ac:dyDescent="0.4">
      <c r="A2815" s="4">
        <v>2461.4640249999998</v>
      </c>
      <c r="B2815" s="4">
        <v>1.3142281</v>
      </c>
      <c r="C2815" s="4">
        <v>1.3565571000000001</v>
      </c>
      <c r="D2815" s="4">
        <v>-30.821263999999999</v>
      </c>
      <c r="E2815" s="4">
        <f>(((((((((-30.8194002/(10/9))+-10.5)+-0.4)*0.98)*1.11)*0.85)-6.5)+3.2)+-0.3)+0.3</f>
        <v>-39.025354806233402</v>
      </c>
      <c r="F2815" s="4">
        <f>((-1.2223445*(1.3/1.5))*0.6)-0.3</f>
        <v>-0.93561913999999979</v>
      </c>
    </row>
    <row r="2816" spans="1:6" x14ac:dyDescent="0.4">
      <c r="A2816" s="4">
        <v>2462.3389500000003</v>
      </c>
      <c r="B2816" s="4">
        <v>1.3140708999999999</v>
      </c>
      <c r="C2816" s="4">
        <v>1.3569184999999999</v>
      </c>
      <c r="D2816" s="4">
        <v>-30.818521</v>
      </c>
      <c r="E2816" s="4">
        <f>(((((((((-30.8492181/(10/9))+-10.5)+-0.4)*0.98)*1.11)*0.85)-6.5)+3.2)+-0.3)+0.3</f>
        <v>-39.050168278622699</v>
      </c>
      <c r="F2816" s="4">
        <f>((-1.2231767*(1.3/1.5))*0.6)-0.3</f>
        <v>-0.93605188399999983</v>
      </c>
    </row>
    <row r="2817" spans="1:6" x14ac:dyDescent="0.4">
      <c r="A2817" s="4">
        <v>2463.2138749999999</v>
      </c>
      <c r="B2817" s="4">
        <v>1.3143092000000001</v>
      </c>
      <c r="C2817" s="4">
        <v>1.3566119999999999</v>
      </c>
      <c r="D2817" s="4">
        <v>-30.815996999999999</v>
      </c>
      <c r="E2817" s="4">
        <f>(((((((((-30.8207664/(10/9))+-10.5)+-0.4)*0.98)*1.11)*0.85)-6.5)+3.2)+-0.3)+0.3</f>
        <v>-39.026491712788797</v>
      </c>
      <c r="F2817" s="4">
        <f>((-1.2239289*(1.3/1.5))*0.6)-0.3</f>
        <v>-0.93644302800000001</v>
      </c>
    </row>
    <row r="2818" spans="1:6" x14ac:dyDescent="0.4">
      <c r="A2818" s="4">
        <v>2464.0888</v>
      </c>
      <c r="B2818" s="4">
        <v>1.3144323</v>
      </c>
      <c r="C2818" s="4">
        <v>1.3567646</v>
      </c>
      <c r="D2818" s="4">
        <v>-30.813572999999998</v>
      </c>
      <c r="E2818" s="4">
        <f>(((((((((-30.8253609/(10/9))+-10.5)+-0.4)*0.98)*1.11)*0.85)-6.5)+3.2)+-0.3)+0.3</f>
        <v>-39.030315104070297</v>
      </c>
      <c r="F2818" s="4">
        <f>((-1.2245843*(1.3/1.5))*0.6)-0.3</f>
        <v>-0.93678383600000004</v>
      </c>
    </row>
    <row r="2819" spans="1:6" x14ac:dyDescent="0.4">
      <c r="A2819" s="4">
        <v>2464.9637250000001</v>
      </c>
      <c r="B2819" s="4">
        <v>1.3146979000000001</v>
      </c>
      <c r="C2819" s="4">
        <v>1.3573246999999999</v>
      </c>
      <c r="D2819" s="4">
        <v>-30.810690999999998</v>
      </c>
      <c r="E2819" s="4">
        <f>(((((((((-30.838932/(10/9))+-10.5)+-0.4)*0.98)*1.11)*0.85)-6.5)+3.2)+-0.3)+0.3</f>
        <v>-39.041608525643994</v>
      </c>
      <c r="F2819" s="4">
        <f>((-1.2251952*(1.3/1.5))*0.6)-0.3</f>
        <v>-0.93710150399999992</v>
      </c>
    </row>
    <row r="2820" spans="1:6" x14ac:dyDescent="0.4">
      <c r="A2820" s="4">
        <v>2465.8386499999997</v>
      </c>
      <c r="B2820" s="4">
        <v>1.3147283000000001</v>
      </c>
      <c r="C2820" s="4">
        <v>1.3575200000000001</v>
      </c>
      <c r="D2820" s="4">
        <v>-30.808499999999999</v>
      </c>
      <c r="E2820" s="4">
        <f>(((((((((-30.8120328/(10/9))+-10.5)+-0.4)*0.98)*1.11)*0.85)-6.5)+3.2)+-0.3)+0.3</f>
        <v>-39.019223899077595</v>
      </c>
      <c r="F2820" s="4">
        <f>((-1.2256444*(1.3/1.5))*0.6)-0.3</f>
        <v>-0.93733508799999998</v>
      </c>
    </row>
    <row r="2821" spans="1:6" x14ac:dyDescent="0.4">
      <c r="A2821" s="4">
        <v>2466.7135750000002</v>
      </c>
      <c r="B2821" s="4">
        <v>1.3154385</v>
      </c>
      <c r="C2821" s="4">
        <v>1.3580707000000001</v>
      </c>
      <c r="D2821" s="4">
        <v>-30.805944</v>
      </c>
      <c r="E2821" s="4">
        <f>(((((((((-30.8341602/(10/9))+-10.5)+-0.4)*0.98)*1.11)*0.85)-6.5)+3.2)+-0.3)+0.3</f>
        <v>-39.037637591153398</v>
      </c>
      <c r="F2821" s="4">
        <f>((-1.2260206*(1.3/1.5))*0.6)-0.3</f>
        <v>-0.93753071200000004</v>
      </c>
    </row>
    <row r="2822" spans="1:6" x14ac:dyDescent="0.4">
      <c r="A2822" s="4">
        <v>2467.5884999999998</v>
      </c>
      <c r="B2822" s="4">
        <v>1.3156036</v>
      </c>
      <c r="C2822" s="4">
        <v>1.3582619</v>
      </c>
      <c r="D2822" s="4">
        <v>-30.803338</v>
      </c>
      <c r="E2822" s="4">
        <f>(((((((((-30.8273211/(10/9))+-10.5)+-0.4)*0.98)*1.11)*0.85)-6.5)+3.2)+-0.3)+0.3</f>
        <v>-39.031946317823696</v>
      </c>
      <c r="F2822" s="4">
        <f>((-1.226298*(1.3/1.5))*0.6)-0.3</f>
        <v>-0.93767496000000006</v>
      </c>
    </row>
    <row r="2823" spans="1:6" x14ac:dyDescent="0.4">
      <c r="A2823" s="4">
        <v>2468.4634249999999</v>
      </c>
      <c r="B2823" s="4">
        <v>1.3159177</v>
      </c>
      <c r="C2823" s="4">
        <v>1.3586406</v>
      </c>
      <c r="D2823" s="4">
        <v>-30.801445999999999</v>
      </c>
      <c r="E2823" s="4">
        <f>(((((((((-30.8358558/(10/9))+-10.5)+-0.4)*0.98)*1.11)*0.85)-6.5)+3.2)+-0.3)+0.3</f>
        <v>-39.039048613518595</v>
      </c>
      <c r="F2823" s="4">
        <f>((-1.2264639*(1.3/1.5))*0.6)-0.3</f>
        <v>-0.93776122799999984</v>
      </c>
    </row>
    <row r="2824" spans="1:6" x14ac:dyDescent="0.4">
      <c r="A2824" s="4">
        <v>2469.33835</v>
      </c>
      <c r="B2824" s="4">
        <v>1.3158453999999999</v>
      </c>
      <c r="C2824" s="4">
        <v>1.3585262</v>
      </c>
      <c r="D2824" s="4">
        <v>-30.799308</v>
      </c>
      <c r="E2824" s="4">
        <f>(((((((((-30.8411469/(10/9))+-10.5)+-0.4)*0.98)*1.11)*0.85)-6.5)+3.2)+-0.3)+0.3</f>
        <v>-39.043451692332297</v>
      </c>
      <c r="F2824" s="4">
        <f>((-1.2265602*(1.3/1.5))*0.6)-0.3</f>
        <v>-0.93781130400000001</v>
      </c>
    </row>
    <row r="2825" spans="1:6" x14ac:dyDescent="0.4">
      <c r="A2825" s="4">
        <v>2470.2132750000001</v>
      </c>
      <c r="B2825" s="4">
        <v>1.316306</v>
      </c>
      <c r="C2825" s="4">
        <v>1.3584927</v>
      </c>
      <c r="D2825" s="4">
        <v>-30.797536000000001</v>
      </c>
      <c r="E2825" s="4">
        <f>(((((((((-30.8043117/(10/9))+-10.5)+-0.4)*0.98)*1.11)*0.85)-6.5)+3.2)+-0.3)+0.3</f>
        <v>-39.012798654453903</v>
      </c>
      <c r="F2825" s="4">
        <f>((-1.226635*(1.3/1.5))*0.6)-0.3</f>
        <v>-0.93785019999999997</v>
      </c>
    </row>
    <row r="2826" spans="1:6" x14ac:dyDescent="0.4">
      <c r="A2826" s="4">
        <v>2471.0882000000001</v>
      </c>
      <c r="B2826" s="4">
        <v>1.3162978000000001</v>
      </c>
      <c r="C2826" s="4">
        <v>1.3584967999999999</v>
      </c>
      <c r="D2826" s="4">
        <v>-30.795832999999998</v>
      </c>
      <c r="E2826" s="4">
        <f>(((((((((-30.8193525/(10/9))+-10.5)+-0.4)*0.98)*1.11)*0.85)-6.5)+3.2)+-0.3)+0.3</f>
        <v>-39.025315111867492</v>
      </c>
      <c r="F2826" s="4">
        <f>((-1.2265702*(1.3/1.5))*0.6)-0.3</f>
        <v>-0.93781650399999994</v>
      </c>
    </row>
    <row r="2827" spans="1:6" x14ac:dyDescent="0.4">
      <c r="A2827" s="4">
        <v>2471.9631250000002</v>
      </c>
      <c r="B2827" s="4">
        <v>1.3164631</v>
      </c>
      <c r="C2827" s="4">
        <v>1.3591340000000001</v>
      </c>
      <c r="D2827" s="4">
        <v>-30.794179</v>
      </c>
      <c r="E2827" s="4">
        <f>(((((((((-30.8518173/(10/9))+-10.5)+-0.4)*0.98)*1.11)*0.85)-6.5)+3.2)+-0.3)+0.3</f>
        <v>-39.052331247089093</v>
      </c>
      <c r="F2827" s="4">
        <f>((-1.2263982*(1.3/1.5))*0.6)-0.3</f>
        <v>-0.93772706399999994</v>
      </c>
    </row>
    <row r="2828" spans="1:6" x14ac:dyDescent="0.4">
      <c r="A2828" s="4">
        <v>2472.8380499999998</v>
      </c>
      <c r="B2828" s="4">
        <v>1.3165913</v>
      </c>
      <c r="C2828" s="4">
        <v>1.3592001</v>
      </c>
      <c r="D2828" s="4">
        <v>-30.792778999999999</v>
      </c>
      <c r="E2828" s="4">
        <f>(((((((((-30.8327625/(10/9))+-10.5)+-0.4)*0.98)*1.11)*0.85)-6.5)+3.2)+-0.3)+0.3</f>
        <v>-39.036474471337506</v>
      </c>
      <c r="F2828" s="4">
        <f>((-1.2260165*(1.3/1.5))*0.6)-0.3</f>
        <v>-0.93752857999999994</v>
      </c>
    </row>
    <row r="2829" spans="1:6" x14ac:dyDescent="0.4">
      <c r="A2829" s="4">
        <v>2473.7129749999999</v>
      </c>
      <c r="B2829" s="4">
        <v>1.3169442</v>
      </c>
      <c r="C2829" s="4">
        <v>1.3596634999999999</v>
      </c>
      <c r="D2829" s="4">
        <v>-30.791650000000001</v>
      </c>
      <c r="E2829" s="4">
        <f>(((((((((-30.8620827/(10/9))+-10.5)+-0.4)*0.98)*1.11)*0.85)-6.5)+3.2)+-0.3)+0.3</f>
        <v>-39.060873774210897</v>
      </c>
      <c r="F2829" s="4">
        <f>((-1.2255939*(1.3/1.5))*0.6)-0.3</f>
        <v>-0.93730882799999993</v>
      </c>
    </row>
    <row r="2830" spans="1:6" x14ac:dyDescent="0.4">
      <c r="A2830" s="4">
        <v>2474.5879</v>
      </c>
      <c r="B2830" s="4">
        <v>1.3172676999999999</v>
      </c>
      <c r="C2830" s="4">
        <v>1.3597900000000001</v>
      </c>
      <c r="D2830" s="4">
        <v>-30.790651</v>
      </c>
      <c r="E2830" s="4">
        <f>(((((((((-30.8826882/(10/9))+-10.5)+-0.4)*0.98)*1.11)*0.85)-6.5)+3.2)+-0.3)+0.3</f>
        <v>-39.078020991329396</v>
      </c>
      <c r="F2830" s="4">
        <f>((-1.2251427*(1.3/1.5))*0.6)-0.3</f>
        <v>-0.93707420399999997</v>
      </c>
    </row>
    <row r="2831" spans="1:6" x14ac:dyDescent="0.4">
      <c r="A2831" s="4">
        <v>2475.4628250000001</v>
      </c>
      <c r="B2831" s="4">
        <v>1.3175067</v>
      </c>
      <c r="C2831" s="4">
        <v>1.3596090000000001</v>
      </c>
      <c r="D2831" s="4">
        <v>-30.790188999999998</v>
      </c>
      <c r="E2831" s="4">
        <f>(((((((((-30.8208528/(10/9))+-10.5)+-0.4)*0.98)*1.11)*0.85)-6.5)+3.2)+-0.3)+0.3</f>
        <v>-39.02656361201759</v>
      </c>
      <c r="F2831" s="4">
        <f>((-1.224599*(1.3/1.5))*0.6)-0.3</f>
        <v>-0.9367914799999999</v>
      </c>
    </row>
    <row r="2832" spans="1:6" x14ac:dyDescent="0.4">
      <c r="A2832" s="4">
        <v>2476.3377500000001</v>
      </c>
      <c r="B2832" s="4">
        <v>1.3178353</v>
      </c>
      <c r="C2832" s="4">
        <v>1.3600798000000001</v>
      </c>
      <c r="D2832" s="4">
        <v>-30.789152999999999</v>
      </c>
      <c r="E2832" s="4">
        <f>(((((((((-30.8461626/(10/9))+-10.5)+-0.4)*0.98)*1.11)*0.85)-6.5)+3.2)+-0.3)+0.3</f>
        <v>-39.047625592354194</v>
      </c>
      <c r="F2832" s="4">
        <f>((-1.2238815*(1.3/1.5))*0.6)-0.3</f>
        <v>-0.93641838000000011</v>
      </c>
    </row>
    <row r="2833" spans="1:6" x14ac:dyDescent="0.4">
      <c r="A2833" s="4">
        <v>2477.2126749999998</v>
      </c>
      <c r="B2833" s="4">
        <v>1.3175592</v>
      </c>
      <c r="C2833" s="4">
        <v>1.3598007000000001</v>
      </c>
      <c r="D2833" s="4">
        <v>-30.788685999999998</v>
      </c>
      <c r="E2833" s="4">
        <f>(((((((((-30.8389419/(10/9))+-10.5)+-0.4)*0.98)*1.11)*0.85)-6.5)+3.2)+-0.3)+0.3</f>
        <v>-39.041616764097299</v>
      </c>
      <c r="F2833" s="4">
        <f>((-1.2230486*(1.3/1.5))*0.6)-0.3</f>
        <v>-0.93598527199999992</v>
      </c>
    </row>
    <row r="2834" spans="1:6" x14ac:dyDescent="0.4">
      <c r="A2834" s="4">
        <v>2478.0876000000003</v>
      </c>
      <c r="B2834" s="4">
        <v>1.3178192</v>
      </c>
      <c r="C2834" s="4">
        <v>1.3600931999999999</v>
      </c>
      <c r="D2834" s="4">
        <v>-30.788539</v>
      </c>
      <c r="E2834" s="4">
        <f>(((((((((-30.815208/(10/9))+-10.5)+-0.4)*0.98)*1.11)*0.85)-6.5)+3.2)+-0.3)+0.3</f>
        <v>-39.021866195735996</v>
      </c>
      <c r="F2834" s="4">
        <f>((-1.2221856*(1.3/1.5))*0.6)-0.3</f>
        <v>-0.9355365120000001</v>
      </c>
    </row>
    <row r="2835" spans="1:6" x14ac:dyDescent="0.4">
      <c r="A2835" s="4">
        <v>2478.9625249999999</v>
      </c>
      <c r="B2835" s="4">
        <v>1.3183043000000001</v>
      </c>
      <c r="C2835" s="4">
        <v>1.3605981</v>
      </c>
      <c r="D2835" s="4">
        <v>-30.788031999999998</v>
      </c>
      <c r="E2835" s="4">
        <f>(((((((((-30.8454516/(10/9))+-10.5)+-0.4)*0.98)*1.11)*0.85)-6.5)+3.2)+-0.3)+0.3</f>
        <v>-39.047033921617192</v>
      </c>
      <c r="F2835" s="4">
        <f>((-1.2212077*(1.3/1.5))*0.6)-0.3</f>
        <v>-0.93502800399999986</v>
      </c>
    </row>
    <row r="2836" spans="1:6" x14ac:dyDescent="0.4">
      <c r="A2836" s="4">
        <v>2479.83745</v>
      </c>
      <c r="B2836" s="4">
        <v>1.3184491</v>
      </c>
      <c r="C2836" s="4">
        <v>1.3606969</v>
      </c>
      <c r="D2836" s="4">
        <v>-30.787701999999999</v>
      </c>
      <c r="E2836" s="4">
        <f>(((((((((-30.8461662/(10/9))+-10.5)+-0.4)*0.98)*1.11)*0.85)-6.5)+3.2)+-0.3)+0.3</f>
        <v>-39.047628588155391</v>
      </c>
      <c r="F2836" s="4">
        <f>((-1.2201238*(1.3/1.5))*0.6)-0.3</f>
        <v>-0.93446437599999999</v>
      </c>
    </row>
    <row r="2837" spans="1:6" x14ac:dyDescent="0.4">
      <c r="A2837" s="4">
        <v>2480.7123750000001</v>
      </c>
      <c r="B2837" s="4">
        <v>1.3184883999999999</v>
      </c>
      <c r="C2837" s="4">
        <v>1.3610043999999999</v>
      </c>
      <c r="D2837" s="4">
        <v>-30.788131</v>
      </c>
      <c r="E2837" s="4">
        <f>(((((((((-30.8161593/(10/9))+-10.5)+-0.4)*0.98)*1.11)*0.85)-6.5)+3.2)+-0.3)+0.3</f>
        <v>-39.022657836203095</v>
      </c>
      <c r="F2837" s="4">
        <f>((-1.2189008*(1.3/1.5))*0.6)-0.3</f>
        <v>-0.93382841599999988</v>
      </c>
    </row>
    <row r="2838" spans="1:6" x14ac:dyDescent="0.4">
      <c r="A2838" s="4">
        <v>2481.5872999999997</v>
      </c>
      <c r="B2838" s="4">
        <v>1.3187971999999999</v>
      </c>
      <c r="C2838" s="4">
        <v>1.3610154000000001</v>
      </c>
      <c r="D2838" s="4">
        <v>-30.788902999999998</v>
      </c>
      <c r="E2838" s="4">
        <f>(((((((((-30.8482668/(10/9))+-10.5)+-0.4)*0.98)*1.11)*0.85)-6.5)+3.2)+-0.3)+0.3</f>
        <v>-39.049376638155593</v>
      </c>
      <c r="F2838" s="4">
        <f>((-1.2177222*(1.3/1.5))*0.6)-0.3</f>
        <v>-0.93321554400000006</v>
      </c>
    </row>
    <row r="2839" spans="1:6" x14ac:dyDescent="0.4">
      <c r="A2839" s="4">
        <v>2482.4622250000002</v>
      </c>
      <c r="B2839" s="4">
        <v>1.3191687000000001</v>
      </c>
      <c r="C2839" s="4">
        <v>1.3614421999999999</v>
      </c>
      <c r="D2839" s="4">
        <v>-30.789816999999999</v>
      </c>
      <c r="E2839" s="4">
        <f>(((((((((-30.8381733/(10/9))+-10.5)+-0.4)*0.98)*1.11)*0.85)-6.5)+3.2)+-0.3)+0.3</f>
        <v>-39.040977160541097</v>
      </c>
      <c r="F2839" s="4">
        <f>((-1.2163672*(1.3/1.5))*0.6)-0.3</f>
        <v>-0.93251094400000012</v>
      </c>
    </row>
    <row r="2840" spans="1:6" x14ac:dyDescent="0.4">
      <c r="A2840" s="4">
        <v>2483.3371499999998</v>
      </c>
      <c r="B2840" s="4">
        <v>1.3193836000000001</v>
      </c>
      <c r="C2840" s="4">
        <v>1.3614554000000001</v>
      </c>
      <c r="D2840" s="4">
        <v>-30.790246</v>
      </c>
      <c r="E2840" s="4">
        <f>(((((((((-30.843378/(10/9))+-10.5)+-0.4)*0.98)*1.11)*0.85)-6.5)+3.2)+-0.3)+0.3</f>
        <v>-39.045308340125999</v>
      </c>
      <c r="F2840" s="4">
        <f>((-1.2149948*(1.3/1.5))*0.6)-0.3</f>
        <v>-0.93179729599999983</v>
      </c>
    </row>
    <row r="2841" spans="1:6" x14ac:dyDescent="0.4">
      <c r="A2841" s="4">
        <v>2484.2120750000004</v>
      </c>
      <c r="B2841" s="4">
        <v>1.3192862999999999</v>
      </c>
      <c r="C2841" s="4">
        <v>1.3617291</v>
      </c>
      <c r="D2841" s="4">
        <v>-30.791346999999998</v>
      </c>
      <c r="E2841" s="4">
        <f>(((((((((-30.8466018/(10/9))+-10.5)+-0.4)*0.98)*1.11)*0.85)-6.5)+3.2)+-0.3)+0.3</f>
        <v>-39.047991080100594</v>
      </c>
      <c r="F2841" s="4">
        <f>((-1.2135342*(1.3/1.5))*0.6)-0.3</f>
        <v>-0.93103778399999992</v>
      </c>
    </row>
    <row r="2842" spans="1:6" x14ac:dyDescent="0.4">
      <c r="A2842" s="4">
        <v>2485.087</v>
      </c>
      <c r="B2842" s="4">
        <v>1.3197825999999999</v>
      </c>
      <c r="C2842" s="4">
        <v>1.3618896</v>
      </c>
      <c r="D2842" s="4">
        <v>-30.792482</v>
      </c>
      <c r="E2842" s="4">
        <f>(((((((((-30.8089737/(10/9))+-10.5)+-0.4)*0.98)*1.11)*0.85)-6.5)+3.2)+-0.3)+0.3</f>
        <v>-39.016678217007886</v>
      </c>
      <c r="F2842" s="4">
        <f>((-1.2119467*(1.3/1.5))*0.6)-0.3</f>
        <v>-0.930212284</v>
      </c>
    </row>
    <row r="2843" spans="1:6" x14ac:dyDescent="0.4">
      <c r="A2843" s="4">
        <v>2485.9619249999996</v>
      </c>
      <c r="B2843" s="4">
        <v>1.3201183999999999</v>
      </c>
      <c r="C2843" s="4">
        <v>1.3623121</v>
      </c>
      <c r="D2843" s="4">
        <v>-30.793717999999998</v>
      </c>
      <c r="E2843" s="4">
        <f>(((((((((-30.8510856/(10/9))+-10.5)+-0.4)*0.98)*1.11)*0.85)-6.5)+3.2)+-0.3)+0.3</f>
        <v>-39.051722350495197</v>
      </c>
      <c r="F2843" s="4">
        <f>((-1.2103511*(1.3/1.5))*0.6)-0.3</f>
        <v>-0.92938257199999996</v>
      </c>
    </row>
    <row r="2844" spans="1:6" x14ac:dyDescent="0.4">
      <c r="A2844" s="4">
        <v>2486.8368500000001</v>
      </c>
      <c r="B2844" s="4">
        <v>1.3203065</v>
      </c>
      <c r="C2844" s="4">
        <v>1.3626590999999999</v>
      </c>
      <c r="D2844" s="4">
        <v>-30.795047</v>
      </c>
      <c r="E2844" s="4">
        <f>(((((((((-30.8496987/(10/9))+-10.5)+-0.4)*0.98)*1.11)*0.85)-6.5)+3.2)+-0.3)+0.3</f>
        <v>-39.050568218082894</v>
      </c>
      <c r="F2844" s="4">
        <f>((-1.2087111*(1.3/1.5))*0.6)-0.3</f>
        <v>-0.92852977200000009</v>
      </c>
    </row>
    <row r="2845" spans="1:6" x14ac:dyDescent="0.4">
      <c r="A2845" s="4">
        <v>2487.7117749999998</v>
      </c>
      <c r="B2845" s="4">
        <v>1.3204819000000001</v>
      </c>
      <c r="C2845" s="4">
        <v>1.3626916</v>
      </c>
      <c r="D2845" s="4">
        <v>-30.796810999999998</v>
      </c>
      <c r="E2845" s="4">
        <f>(((((((((-30.8130966/(10/9))+-10.5)+-0.4)*0.98)*1.11)*0.85)-6.5)+3.2)+-0.3)+0.3</f>
        <v>-39.020109158332197</v>
      </c>
      <c r="F2845" s="4">
        <f>((-1.2070552*(1.3/1.5))*0.6)-0.3</f>
        <v>-0.92766870400000001</v>
      </c>
    </row>
    <row r="2846" spans="1:6" x14ac:dyDescent="0.4">
      <c r="A2846" s="4">
        <v>2488.5867000000003</v>
      </c>
      <c r="B2846" s="4">
        <v>1.3206089000000001</v>
      </c>
      <c r="C2846" s="4">
        <v>1.3630297</v>
      </c>
      <c r="D2846" s="4">
        <v>-30.799133999999999</v>
      </c>
      <c r="E2846" s="4">
        <f>(((((((((-30.8723751/(10/9))+-10.5)+-0.4)*0.98)*1.11)*0.85)-6.5)+3.2)+-0.3)+0.3</f>
        <v>-39.069438769841696</v>
      </c>
      <c r="F2846" s="4">
        <f>((-1.2053559*(1.3/1.5))*0.6)-0.3</f>
        <v>-0.92678506800000005</v>
      </c>
    </row>
    <row r="2847" spans="1:6" x14ac:dyDescent="0.4">
      <c r="A2847" s="4">
        <v>2489.4616249999999</v>
      </c>
      <c r="B2847" s="4">
        <v>1.3210964000000001</v>
      </c>
      <c r="C2847" s="4">
        <v>1.3635013</v>
      </c>
      <c r="D2847" s="4">
        <v>-30.801120000000001</v>
      </c>
      <c r="E2847" s="4">
        <f>(((((((((-30.8397078/(10/9))+-10.5)+-0.4)*0.98)*1.11)*0.85)-6.5)+3.2)+-0.3)+0.3</f>
        <v>-39.042254120802596</v>
      </c>
      <c r="F2847" s="4">
        <f>((-1.2036062*(1.3/1.5))*0.6)-0.3</f>
        <v>-0.92587522400000011</v>
      </c>
    </row>
    <row r="2848" spans="1:6" x14ac:dyDescent="0.4">
      <c r="A2848" s="4">
        <v>2490.33655</v>
      </c>
      <c r="B2848" s="4">
        <v>1.3215835</v>
      </c>
      <c r="C2848" s="4">
        <v>1.3636980999999999</v>
      </c>
      <c r="D2848" s="4">
        <v>-30.803249000000001</v>
      </c>
      <c r="E2848" s="4">
        <f>(((((((((-30.8352141/(10/9))+-10.5)+-0.4)*0.98)*1.11)*0.85)-6.5)+3.2)+-0.3)+0.3</f>
        <v>-39.038514611954696</v>
      </c>
      <c r="F2848" s="4">
        <f>((-1.2018706*(1.3/1.5))*0.6)-0.3</f>
        <v>-0.92497271199999997</v>
      </c>
    </row>
    <row r="2849" spans="1:6" x14ac:dyDescent="0.4">
      <c r="A2849" s="4">
        <v>2491.2114750000001</v>
      </c>
      <c r="B2849" s="4">
        <v>1.3215056999999999</v>
      </c>
      <c r="C2849" s="4">
        <v>1.3637166000000001</v>
      </c>
      <c r="D2849" s="4">
        <v>-30.805519999999998</v>
      </c>
      <c r="E2849" s="4">
        <f>(((((((((-30.8156409/(10/9))+-10.5)+-0.4)*0.98)*1.11)*0.85)-6.5)+3.2)+-0.3)+0.3</f>
        <v>-39.022226440830288</v>
      </c>
      <c r="F2849" s="4">
        <f>((-1.2001411*(1.3/1.5))*0.6)-0.3</f>
        <v>-0.92407337199999984</v>
      </c>
    </row>
    <row r="2850" spans="1:6" x14ac:dyDescent="0.4">
      <c r="A2850" s="4">
        <v>2492.0863999999997</v>
      </c>
      <c r="B2850" s="4">
        <v>1.3218391</v>
      </c>
      <c r="C2850" s="4">
        <v>1.3641122999999999</v>
      </c>
      <c r="D2850" s="4">
        <v>-30.808277999999998</v>
      </c>
      <c r="E2850" s="4">
        <f>(((((((((-30.8357388/(10/9))+-10.5)+-0.4)*0.98)*1.11)*0.85)-6.5)+3.2)+-0.3)+0.3</f>
        <v>-39.038951249979604</v>
      </c>
      <c r="F2850" s="4">
        <f>((-1.198352*(1.3/1.5))*0.6)-0.3</f>
        <v>-0.92314304000000003</v>
      </c>
    </row>
    <row r="2851" spans="1:6" x14ac:dyDescent="0.4">
      <c r="A2851" s="4">
        <v>2492.9613250000002</v>
      </c>
      <c r="B2851" s="4">
        <v>1.3220111000000001</v>
      </c>
      <c r="C2851" s="4">
        <v>1.3642789</v>
      </c>
      <c r="D2851" s="4">
        <v>-30.811153000000001</v>
      </c>
      <c r="E2851" s="4">
        <f>(((((((((-30.8324259/(10/9))+-10.5)+-0.4)*0.98)*1.11)*0.85)-6.5)+3.2)+-0.3)+0.3</f>
        <v>-39.036194363925297</v>
      </c>
      <c r="F2851" s="4">
        <f>((-1.1964912*(1.3/1.5))*0.6)-0.3</f>
        <v>-0.92217542399999997</v>
      </c>
    </row>
    <row r="2852" spans="1:6" x14ac:dyDescent="0.4">
      <c r="A2852" s="4">
        <v>2493.8362499999998</v>
      </c>
      <c r="B2852" s="4">
        <v>1.3221883999999999</v>
      </c>
      <c r="C2852" s="4">
        <v>1.3643417</v>
      </c>
      <c r="D2852" s="4">
        <v>-30.814083999999998</v>
      </c>
      <c r="E2852" s="4">
        <f>(((((((((-30.8425338/(10/9))+-10.5)+-0.4)*0.98)*1.11)*0.85)-6.5)+3.2)+-0.3)+0.3</f>
        <v>-39.0446058247446</v>
      </c>
      <c r="F2852" s="4">
        <f>((-1.1946628*(1.3/1.5))*0.6)-0.3</f>
        <v>-0.92122465599999992</v>
      </c>
    </row>
    <row r="2853" spans="1:6" x14ac:dyDescent="0.4">
      <c r="A2853" s="4">
        <v>2494.7111749999999</v>
      </c>
      <c r="B2853" s="4">
        <v>1.3225496999999999</v>
      </c>
      <c r="C2853" s="4">
        <v>1.3647807000000001</v>
      </c>
      <c r="D2853" s="4">
        <v>-30.817316999999999</v>
      </c>
      <c r="E2853" s="4">
        <f>(((((((((-30.8449269/(10/9))+-10.5)+-0.4)*0.98)*1.11)*0.85)-6.5)+3.2)+-0.3)+0.3</f>
        <v>-39.046597283592298</v>
      </c>
      <c r="F2853" s="4">
        <f>((-1.1927902*(1.3/1.5))*0.6)-0.3</f>
        <v>-0.92025090399999998</v>
      </c>
    </row>
    <row r="2854" spans="1:6" x14ac:dyDescent="0.4">
      <c r="A2854" s="4">
        <v>2495.5861</v>
      </c>
      <c r="B2854" s="4">
        <v>1.3227471</v>
      </c>
      <c r="C2854" s="4">
        <v>1.3649229000000001</v>
      </c>
      <c r="D2854" s="4">
        <v>-30.820923999999998</v>
      </c>
      <c r="E2854" s="4">
        <f>(((((((((-30.8488473/(10/9))+-10.5)+-0.4)*0.98)*1.11)*0.85)-6.5)+3.2)+-0.3)+0.3</f>
        <v>-39.049859711099096</v>
      </c>
      <c r="F2854" s="4">
        <f>((-1.1909232*(1.3/1.5))*0.6)-0.3</f>
        <v>-0.91928006400000006</v>
      </c>
    </row>
    <row r="2855" spans="1:6" x14ac:dyDescent="0.4">
      <c r="A2855" s="4">
        <v>2496.4610250000001</v>
      </c>
      <c r="B2855" s="4">
        <v>1.3230202</v>
      </c>
      <c r="C2855" s="4">
        <v>1.3650906</v>
      </c>
      <c r="D2855" s="4">
        <v>-30.824251999999998</v>
      </c>
      <c r="E2855" s="4">
        <f>(((((((((-30.8284947/(10/9))+-10.5)+-0.4)*0.98)*1.11)*0.85)-6.5)+3.2)+-0.3)+0.3</f>
        <v>-39.032922949014889</v>
      </c>
      <c r="F2855" s="4">
        <f>((-1.1890545*(1.3/1.5))*0.6)-0.3</f>
        <v>-0.91830833999999983</v>
      </c>
    </row>
    <row r="2856" spans="1:6" x14ac:dyDescent="0.4">
      <c r="A2856" s="4">
        <v>2497.3359500000001</v>
      </c>
      <c r="B2856" s="4">
        <v>1.3232744000000001</v>
      </c>
      <c r="C2856" s="4">
        <v>1.3653352999999999</v>
      </c>
      <c r="D2856" s="4">
        <v>-30.82809</v>
      </c>
      <c r="E2856" s="4">
        <f>(((((((((-30.8180412/(10/9))+-10.5)+-0.4)*0.98)*1.11)*0.85)-6.5)+3.2)+-0.3)+0.3</f>
        <v>-39.024223891280393</v>
      </c>
      <c r="F2856" s="4">
        <f>((-1.1872709*(1.3/1.5))*0.6)-0.3</f>
        <v>-0.91738086799999996</v>
      </c>
    </row>
    <row r="2857" spans="1:6" x14ac:dyDescent="0.4">
      <c r="A2857" s="4">
        <v>2498.2108750000002</v>
      </c>
      <c r="B2857" s="4">
        <v>1.3234456000000001</v>
      </c>
      <c r="C2857" s="4">
        <v>1.3657296000000001</v>
      </c>
      <c r="D2857" s="4">
        <v>-30.832023</v>
      </c>
      <c r="E2857" s="4">
        <f>(((((((((-30.8054547/(10/9))+-10.5)+-0.4)*0.98)*1.11)*0.85)-6.5)+3.2)+-0.3)+0.3</f>
        <v>-39.013749821334891</v>
      </c>
      <c r="F2857" s="4">
        <f>((-1.185532*(1.3/1.5))*0.6)-0.3</f>
        <v>-0.91647663999999995</v>
      </c>
    </row>
    <row r="2858" spans="1:6" x14ac:dyDescent="0.4">
      <c r="A2858" s="4">
        <v>2499.0857999999998</v>
      </c>
      <c r="B2858" s="4">
        <v>1.3237380000000001</v>
      </c>
      <c r="C2858" s="4">
        <v>1.3659239000000001</v>
      </c>
      <c r="D2858" s="4">
        <v>-30.835712000000001</v>
      </c>
      <c r="E2858" s="4">
        <f>(((((((((-30.8063709/(10/9))+-10.5)+-0.4)*0.98)*1.11)*0.85)-6.5)+3.2)+-0.3)+0.3</f>
        <v>-39.014512252740296</v>
      </c>
      <c r="F2858" s="4">
        <f>((-1.1838311*(1.3/1.5))*0.6)-0.3</f>
        <v>-0.91559217199999998</v>
      </c>
    </row>
    <row r="2859" spans="1:6" x14ac:dyDescent="0.4">
      <c r="A2859" s="4">
        <v>2499.9607249999999</v>
      </c>
      <c r="B2859" s="4">
        <v>1.3243103000000001</v>
      </c>
      <c r="C2859" s="4">
        <v>1.3664455</v>
      </c>
      <c r="D2859" s="4">
        <v>-30.839928999999998</v>
      </c>
      <c r="E2859" s="4">
        <f>(((((((((-30.7942452/(10/9))+-10.5)+-0.4)*0.98)*1.11)*0.85)-6.5)+3.2)+-0.3)+0.3</f>
        <v>-39.004421645348394</v>
      </c>
      <c r="F2859" s="4">
        <f>((-1.1820515*(1.3/1.5))*0.6)-0.3</f>
        <v>-0.91466678000000012</v>
      </c>
    </row>
    <row r="2860" spans="1:6" x14ac:dyDescent="0.4">
      <c r="A2860" s="4">
        <v>2500.83565</v>
      </c>
      <c r="B2860" s="4">
        <v>1.324478</v>
      </c>
      <c r="C2860" s="4">
        <v>1.3663284</v>
      </c>
      <c r="D2860" s="4">
        <v>-30.844265999999998</v>
      </c>
      <c r="E2860" s="4">
        <f>(((((((((-30.8103363/(10/9))+-10.5)+-0.4)*0.98)*1.11)*0.85)-6.5)+3.2)+-0.3)+0.3</f>
        <v>-39.017812127762099</v>
      </c>
      <c r="F2860" s="4">
        <f>((-1.1803174*(1.3/1.5))*0.6)-0.3</f>
        <v>-0.91376504800000014</v>
      </c>
    </row>
    <row r="2861" spans="1:6" x14ac:dyDescent="0.4">
      <c r="A2861" s="4">
        <v>2501.7105750000001</v>
      </c>
      <c r="B2861" s="4">
        <v>1.3246275000000001</v>
      </c>
      <c r="C2861" s="4">
        <v>1.3667997999999999</v>
      </c>
      <c r="D2861" s="4">
        <v>-30.848741</v>
      </c>
      <c r="E2861" s="4">
        <f>(((((((((-30.8261979/(10/9))+-10.5)+-0.4)*0.98)*1.11)*0.85)-6.5)+3.2)+-0.3)+0.3</f>
        <v>-39.031011627849303</v>
      </c>
      <c r="F2861" s="4">
        <f>((-1.1786036*(1.3/1.5))*0.6)-0.3</f>
        <v>-0.91287387199999981</v>
      </c>
    </row>
    <row r="2862" spans="1:6" x14ac:dyDescent="0.4">
      <c r="A2862" s="4">
        <v>2502.5855000000001</v>
      </c>
      <c r="B2862" s="4">
        <v>1.3249531999999999</v>
      </c>
      <c r="C2862" s="4">
        <v>1.3667806</v>
      </c>
      <c r="D2862" s="4">
        <v>-30.853546999999999</v>
      </c>
      <c r="E2862" s="4">
        <f>(((((((((-30.7985022/(10/9))+-10.5)+-0.4)*0.98)*1.11)*0.85)-6.5)+3.2)+-0.3)+0.3</f>
        <v>-39.0079641802674</v>
      </c>
      <c r="F2862" s="4">
        <f>((-1.177044*(1.3/1.5))*0.6)-0.3</f>
        <v>-0.91206287999999991</v>
      </c>
    </row>
    <row r="2863" spans="1:6" x14ac:dyDescent="0.4">
      <c r="A2863" s="4">
        <v>2503.4604249999998</v>
      </c>
      <c r="B2863" s="4">
        <v>1.3249233</v>
      </c>
      <c r="C2863" s="4">
        <v>1.3669214000000001</v>
      </c>
      <c r="D2863" s="4">
        <v>-30.858242999999998</v>
      </c>
      <c r="E2863" s="4">
        <f>(((((((((-30.8155761/(10/9))+-10.5)+-0.4)*0.98)*1.11)*0.85)-6.5)+3.2)+-0.3)+0.3</f>
        <v>-39.022172516408695</v>
      </c>
      <c r="F2863" s="4">
        <f>((-1.1755692*(1.3/1.5))*0.6)-0.3</f>
        <v>-0.91129598400000011</v>
      </c>
    </row>
    <row r="2864" spans="1:6" x14ac:dyDescent="0.4">
      <c r="A2864" s="4">
        <v>2504.3353500000003</v>
      </c>
      <c r="B2864" s="4">
        <v>1.3253881000000001</v>
      </c>
      <c r="C2864" s="4">
        <v>1.3671637000000001</v>
      </c>
      <c r="D2864" s="4">
        <v>-30.862835999999998</v>
      </c>
      <c r="E2864" s="4">
        <f>(((((((((-30.8036592/(10/9))+-10.5)+-0.4)*0.98)*1.11)*0.85)-6.5)+3.2)+-0.3)+0.3</f>
        <v>-39.012255665486393</v>
      </c>
      <c r="F2864" s="4">
        <f>((-1.1740892*(1.3/1.5))*0.6)-0.3</f>
        <v>-0.91052638399999997</v>
      </c>
    </row>
    <row r="2865" spans="1:6" x14ac:dyDescent="0.4">
      <c r="A2865" s="4">
        <v>2505.2102749999999</v>
      </c>
      <c r="B2865" s="4">
        <v>1.325725</v>
      </c>
      <c r="C2865" s="4">
        <v>1.3675013</v>
      </c>
      <c r="D2865" s="4">
        <v>-30.867749</v>
      </c>
      <c r="E2865" s="4">
        <f>(((((((((-30.8157201/(10/9))+-10.5)+-0.4)*0.98)*1.11)*0.85)-6.5)+3.2)+-0.3)+0.3</f>
        <v>-39.022292348456695</v>
      </c>
      <c r="F2865" s="4">
        <f>((-1.1726296*(1.3/1.5))*0.6)-0.3</f>
        <v>-0.90976739200000001</v>
      </c>
    </row>
    <row r="2866" spans="1:6" x14ac:dyDescent="0.4">
      <c r="A2866" s="4">
        <v>2506.0852</v>
      </c>
      <c r="B2866" s="4">
        <v>1.3259354999999999</v>
      </c>
      <c r="C2866" s="4">
        <v>1.3676301</v>
      </c>
      <c r="D2866" s="4">
        <v>-30.872131</v>
      </c>
      <c r="E2866" s="4">
        <f>(((((((((-30.8220615/(10/9))+-10.5)+-0.4)*0.98)*1.11)*0.85)-6.5)+3.2)+-0.3)+0.3</f>
        <v>-39.027569452270498</v>
      </c>
      <c r="F2866" s="4">
        <f>((-1.1712102*(1.3/1.5))*0.6)-0.3</f>
        <v>-0.90902930399999993</v>
      </c>
    </row>
    <row r="2867" spans="1:6" x14ac:dyDescent="0.4">
      <c r="A2867" s="4">
        <v>2506.9601250000001</v>
      </c>
      <c r="B2867" s="4">
        <v>1.3260281</v>
      </c>
      <c r="C2867" s="4">
        <v>1.3679730000000001</v>
      </c>
      <c r="D2867" s="4">
        <v>-30.876885999999999</v>
      </c>
      <c r="E2867" s="4">
        <f>(((((((((-30.8017638/(10/9))+-10.5)+-0.4)*0.98)*1.11)*0.85)-6.5)+3.2)+-0.3)+0.3</f>
        <v>-39.010678376154594</v>
      </c>
      <c r="F2867" s="4">
        <f>((-1.1699156*(1.3/1.5))*0.6)-0.3</f>
        <v>-0.90835611199999988</v>
      </c>
    </row>
    <row r="2868" spans="1:6" x14ac:dyDescent="0.4">
      <c r="A2868" s="4">
        <v>2507.8350499999997</v>
      </c>
      <c r="B2868" s="4">
        <v>1.326373</v>
      </c>
      <c r="C2868" s="4">
        <v>1.3683046000000001</v>
      </c>
      <c r="D2868" s="4">
        <v>-30.881907999999999</v>
      </c>
      <c r="E2868" s="4">
        <f>(((((((((-30.8023956/(10/9))+-10.5)+-0.4)*0.98)*1.11)*0.85)-6.5)+3.2)+-0.3)+0.3</f>
        <v>-39.011204139265203</v>
      </c>
      <c r="F2868" s="4">
        <f>((-1.1687994*(1.3/1.5))*0.6)-0.3</f>
        <v>-0.90777568799999986</v>
      </c>
    </row>
    <row r="2869" spans="1:6" x14ac:dyDescent="0.4">
      <c r="A2869" s="4">
        <v>2508.7099750000002</v>
      </c>
      <c r="B2869" s="4">
        <v>1.3270388</v>
      </c>
      <c r="C2869" s="4">
        <v>1.3685094</v>
      </c>
      <c r="D2869" s="4">
        <v>-30.886431999999999</v>
      </c>
      <c r="E2869" s="4">
        <f>(((((((((-30.7899162/(10/9))+-10.5)+-0.4)*0.98)*1.11)*0.85)-6.5)+3.2)+-0.3)+0.3</f>
        <v>-39.000819194405395</v>
      </c>
      <c r="F2869" s="4">
        <f>((-1.1676829*(1.3/1.5))*0.6)-0.3</f>
        <v>-0.90719510800000003</v>
      </c>
    </row>
    <row r="2870" spans="1:6" x14ac:dyDescent="0.4">
      <c r="A2870" s="4">
        <v>2509.5848999999998</v>
      </c>
      <c r="B2870" s="4">
        <v>1.3269108999999999</v>
      </c>
      <c r="C2870" s="4">
        <v>1.3687142000000001</v>
      </c>
      <c r="D2870" s="4">
        <v>-30.891192999999998</v>
      </c>
      <c r="E2870" s="4">
        <f>(((((((((-30.774861/(10/9))+-10.5)+-0.4)*0.98)*1.11)*0.85)-6.5)+3.2)+-0.3)+0.3</f>
        <v>-38.988290753786991</v>
      </c>
      <c r="F2870" s="4">
        <f>((-1.1665972*(1.3/1.5))*0.6)-0.3</f>
        <v>-0.90663054399999998</v>
      </c>
    </row>
    <row r="2871" spans="1:6" x14ac:dyDescent="0.4">
      <c r="A2871" s="4">
        <v>2510.4598250000004</v>
      </c>
      <c r="B2871" s="4">
        <v>1.3273017</v>
      </c>
      <c r="C2871" s="4">
        <v>1.3687923</v>
      </c>
      <c r="D2871" s="4">
        <v>-30.895761</v>
      </c>
      <c r="E2871" s="4">
        <f>(((((((((-30.773079/(10/9))+-10.5)+-0.4)*0.98)*1.11)*0.85)-6.5)+3.2)+-0.3)+0.3</f>
        <v>-38.986807832193001</v>
      </c>
      <c r="F2871" s="4">
        <f>((-1.1655141*(1.3/1.5))*0.6)-0.3</f>
        <v>-0.90606733200000011</v>
      </c>
    </row>
    <row r="2872" spans="1:6" x14ac:dyDescent="0.4">
      <c r="A2872" s="4">
        <v>2511.33475</v>
      </c>
      <c r="B2872" s="4">
        <v>1.3274542</v>
      </c>
      <c r="C2872" s="4">
        <v>1.368984</v>
      </c>
      <c r="D2872" s="4">
        <v>-30.900513999999998</v>
      </c>
      <c r="E2872" s="4">
        <f>(((((((((-30.7313964/(10/9))+-10.5)+-0.4)*0.98)*1.11)*0.85)-6.5)+3.2)+-0.3)+0.3</f>
        <v>-38.9521209479988</v>
      </c>
      <c r="F2872" s="4">
        <f>((-1.1646391*(1.3/1.5))*0.6)-0.3</f>
        <v>-0.90561233200000002</v>
      </c>
    </row>
    <row r="2873" spans="1:6" x14ac:dyDescent="0.4">
      <c r="A2873" s="4">
        <v>2512.2096749999996</v>
      </c>
      <c r="B2873" s="4">
        <v>1.3275535999999999</v>
      </c>
      <c r="C2873" s="4">
        <v>1.3693135999999999</v>
      </c>
      <c r="D2873" s="4">
        <v>-30.905034000000001</v>
      </c>
      <c r="E2873" s="4">
        <f>(((((((((-30.7885635/(10/9))+-10.5)+-0.4)*0.98)*1.11)*0.85)-6.5)+3.2)+-0.3)+0.3</f>
        <v>-38.999693522104494</v>
      </c>
      <c r="F2873" s="4">
        <f>((-1.1639143*(1.3/1.5))*0.6)-0.3</f>
        <v>-0.90523543599999989</v>
      </c>
    </row>
    <row r="2874" spans="1:6" x14ac:dyDescent="0.4">
      <c r="A2874" s="4">
        <v>2513.0846000000001</v>
      </c>
      <c r="B2874" s="4">
        <v>1.3280837999999999</v>
      </c>
      <c r="C2874" s="4">
        <v>1.3696664999999999</v>
      </c>
      <c r="D2874" s="4">
        <v>-30.909538999999999</v>
      </c>
      <c r="E2874" s="4">
        <f>(((((((((-30.8014038/(10/9))+-10.5)+-0.4)*0.98)*1.11)*0.85)-6.5)+3.2)+-0.3)+0.3</f>
        <v>-39.010378796034594</v>
      </c>
      <c r="F2874" s="4">
        <f>((-1.1632104*(1.3/1.5))*0.6)-0.3</f>
        <v>-0.90486940800000015</v>
      </c>
    </row>
    <row r="2875" spans="1:6" x14ac:dyDescent="0.4">
      <c r="A2875" s="4">
        <v>2513.9595249999998</v>
      </c>
      <c r="B2875" s="4">
        <v>1.3285127000000001</v>
      </c>
      <c r="C2875" s="4">
        <v>1.3703097</v>
      </c>
      <c r="D2875" s="4">
        <v>-30.914318999999999</v>
      </c>
      <c r="E2875" s="4">
        <f>(((((((((-30.7410237/(10/9))+-10.5)+-0.4)*0.98)*1.11)*0.85)-6.5)+3.2)+-0.3)+0.3</f>
        <v>-38.960132469357887</v>
      </c>
      <c r="F2875" s="4">
        <f>((-1.1625969*(1.3/1.5))*0.6)-0.3</f>
        <v>-0.90455038800000009</v>
      </c>
    </row>
    <row r="2876" spans="1:6" x14ac:dyDescent="0.4">
      <c r="A2876" s="4">
        <v>2514.8344500000003</v>
      </c>
      <c r="B2876" s="4">
        <v>1.3286297</v>
      </c>
      <c r="C2876" s="4">
        <v>1.3700064000000001</v>
      </c>
      <c r="D2876" s="4">
        <v>-30.919056999999999</v>
      </c>
      <c r="E2876" s="4">
        <f>(((((((((-30.7509696/(10/9))+-10.5)+-0.4)*0.98)*1.11)*0.85)-6.5)+3.2)+-0.3)+0.3</f>
        <v>-38.968409119123201</v>
      </c>
      <c r="F2876" s="4">
        <f>((-1.1621075*(1.3/1.5))*0.6)-0.3</f>
        <v>-0.90429589999999993</v>
      </c>
    </row>
    <row r="2877" spans="1:6" x14ac:dyDescent="0.4">
      <c r="A2877" s="4">
        <v>2515.7093749999999</v>
      </c>
      <c r="B2877" s="4">
        <v>1.3287688</v>
      </c>
      <c r="C2877" s="4">
        <v>1.3704959000000001</v>
      </c>
      <c r="D2877" s="4">
        <v>-30.923089000000001</v>
      </c>
      <c r="E2877" s="4">
        <f>(((((((((-30.7507698/(10/9))+-10.5)+-0.4)*0.98)*1.11)*0.85)-6.5)+3.2)+-0.3)+0.3</f>
        <v>-38.968242852156592</v>
      </c>
      <c r="F2877" s="4">
        <f>((-1.161715*(1.3/1.5))*0.6)-0.3</f>
        <v>-0.9040918</v>
      </c>
    </row>
    <row r="2878" spans="1:6" x14ac:dyDescent="0.4">
      <c r="A2878" s="4">
        <v>2516.5843</v>
      </c>
      <c r="B2878" s="4">
        <v>1.3293279</v>
      </c>
      <c r="C2878" s="4">
        <v>1.3708921999999999</v>
      </c>
      <c r="D2878" s="4">
        <v>-30.927357999999998</v>
      </c>
      <c r="E2878" s="4">
        <f>(((((((((-30.7686474/(10/9))+-10.5)+-0.4)*0.98)*1.11)*0.85)-6.5)+3.2)+-0.3)+0.3</f>
        <v>-38.983120000915804</v>
      </c>
      <c r="F2878" s="4">
        <f>((-1.1613837*(1.3/1.5))*0.6)-0.3</f>
        <v>-0.90391952399999997</v>
      </c>
    </row>
    <row r="2879" spans="1:6" x14ac:dyDescent="0.4">
      <c r="A2879" s="4">
        <v>2517.4592250000001</v>
      </c>
      <c r="B2879" s="4">
        <v>1.32934</v>
      </c>
      <c r="C2879" s="4">
        <v>1.3709069</v>
      </c>
      <c r="D2879" s="4">
        <v>-30.931564999999999</v>
      </c>
      <c r="E2879" s="4">
        <f>(((((((((-30.7480752/(10/9))+-10.5)+-0.4)*0.98)*1.11)*0.85)-6.5)+3.2)+-0.3)+0.3</f>
        <v>-38.966000494958394</v>
      </c>
      <c r="F2879" s="4">
        <f>((-1.1612481*(1.3/1.5))*0.6)-0.3</f>
        <v>-0.90384901200000001</v>
      </c>
    </row>
    <row r="2880" spans="1:6" x14ac:dyDescent="0.4">
      <c r="A2880" s="4">
        <v>2518.3341499999997</v>
      </c>
      <c r="B2880" s="4">
        <v>1.3297861</v>
      </c>
      <c r="C2880" s="4">
        <v>1.3711622999999999</v>
      </c>
      <c r="D2880" s="4">
        <v>-30.936060999999999</v>
      </c>
      <c r="E2880" s="4">
        <f>(((((((((-30.7643382/(10/9))+-10.5)+-0.4)*0.98)*1.11)*0.85)-6.5)+3.2)+-0.3)+0.3</f>
        <v>-38.979534026879399</v>
      </c>
      <c r="F2880" s="4">
        <f>((-1.1611404*(1.3/1.5))*0.6)-0.3</f>
        <v>-0.90379300800000006</v>
      </c>
    </row>
    <row r="2881" spans="1:6" x14ac:dyDescent="0.4">
      <c r="A2881" s="4">
        <v>2519.2090750000002</v>
      </c>
      <c r="B2881" s="4">
        <v>1.3298576</v>
      </c>
      <c r="C2881" s="4">
        <v>1.3716264</v>
      </c>
      <c r="D2881" s="4">
        <v>-30.940678999999999</v>
      </c>
      <c r="E2881" s="4">
        <f>(((((((((-30.7431414/(10/9))+-10.5)+-0.4)*0.98)*1.11)*0.85)-6.5)+3.2)+-0.3)+0.3</f>
        <v>-38.961894749413801</v>
      </c>
      <c r="F2881" s="4">
        <f>((-1.1611398*(1.3/1.5))*0.6)-0.3</f>
        <v>-0.90379269600000001</v>
      </c>
    </row>
    <row r="2882" spans="1:6" x14ac:dyDescent="0.4">
      <c r="A2882" s="4">
        <v>2520.0839999999998</v>
      </c>
      <c r="B2882" s="4">
        <v>1.3302693000000001</v>
      </c>
      <c r="C2882" s="4">
        <v>1.3717007999999999</v>
      </c>
      <c r="D2882" s="4">
        <v>-30.944938</v>
      </c>
      <c r="E2882" s="4">
        <f>(((((((((-30.7371816/(10/9))+-10.5)+-0.4)*0.98)*1.11)*0.85)-6.5)+3.2)+-0.3)+0.3</f>
        <v>-38.956935200527205</v>
      </c>
      <c r="F2882" s="4">
        <f>((-1.1613271*(1.3/1.5))*0.6)-0.3</f>
        <v>-0.90389009199999992</v>
      </c>
    </row>
    <row r="2883" spans="1:6" x14ac:dyDescent="0.4">
      <c r="A2883" s="4">
        <v>2520.9589249999999</v>
      </c>
      <c r="B2883" s="4">
        <v>1.3306723</v>
      </c>
      <c r="C2883" s="4">
        <v>1.3722782</v>
      </c>
      <c r="D2883" s="4">
        <v>-30.949393000000001</v>
      </c>
      <c r="E2883" s="4">
        <f>(((((((((-30.7476459/(10/9))+-10.5)+-0.4)*0.98)*1.11)*0.85)-6.5)+3.2)+-0.3)+0.3</f>
        <v>-38.965643245665291</v>
      </c>
      <c r="F2883" s="4">
        <f>((-1.1615338*(1.3/1.5))*0.6)-0.3</f>
        <v>-0.90399757600000008</v>
      </c>
    </row>
    <row r="2884" spans="1:6" x14ac:dyDescent="0.4">
      <c r="A2884" s="4">
        <v>2521.83385</v>
      </c>
      <c r="B2884" s="4">
        <v>1.3307667000000001</v>
      </c>
      <c r="C2884" s="4">
        <v>1.3723012000000001</v>
      </c>
      <c r="D2884" s="4">
        <v>-30.953697999999999</v>
      </c>
      <c r="E2884" s="4">
        <f>(((((((((-30.74733/(10/9))+-10.5)+-0.4)*0.98)*1.11)*0.85)-6.5)+3.2)+-0.3)+0.3</f>
        <v>-38.965380364109997</v>
      </c>
      <c r="F2884" s="4">
        <f>((-1.1618237*(1.3/1.5))*0.6)-0.3</f>
        <v>-0.90414832399999989</v>
      </c>
    </row>
    <row r="2885" spans="1:6" x14ac:dyDescent="0.4">
      <c r="A2885" s="4">
        <v>2522.7087750000001</v>
      </c>
      <c r="B2885" s="4">
        <v>1.3308728999999999</v>
      </c>
      <c r="C2885" s="4">
        <v>1.3724091</v>
      </c>
      <c r="D2885" s="4">
        <v>-30.957276999999998</v>
      </c>
      <c r="E2885" s="4">
        <f>(((((((((-30.7538604/(10/9))+-10.5)+-0.4)*0.98)*1.11)*0.85)-6.5)+3.2)+-0.3)+0.3</f>
        <v>-38.970814747486799</v>
      </c>
      <c r="F2885" s="4">
        <f>((-1.1621225*(1.3/1.5))*0.6)-0.3</f>
        <v>-0.90430370000000004</v>
      </c>
    </row>
    <row r="2886" spans="1:6" x14ac:dyDescent="0.4">
      <c r="A2886" s="4">
        <v>2523.5837000000001</v>
      </c>
      <c r="B2886" s="4">
        <v>1.3313446</v>
      </c>
      <c r="C2886" s="4">
        <v>1.3725928999999999</v>
      </c>
      <c r="D2886" s="4">
        <v>-30.960819999999998</v>
      </c>
      <c r="E2886" s="4">
        <f>(((((((((-30.773385/(10/9))+-10.5)+-0.4)*0.98)*1.11)*0.85)-6.5)+3.2)+-0.3)+0.3</f>
        <v>-38.987062475294998</v>
      </c>
      <c r="F2886" s="4">
        <f>((-1.1626059*(1.3/1.5))*0.6)-0.3</f>
        <v>-0.90455506800000007</v>
      </c>
    </row>
    <row r="2887" spans="1:6" x14ac:dyDescent="0.4">
      <c r="A2887" s="4">
        <v>2524.4586250000002</v>
      </c>
      <c r="B2887" s="4">
        <v>1.3311898</v>
      </c>
      <c r="C2887" s="4">
        <v>1.3725148</v>
      </c>
      <c r="D2887" s="4">
        <v>-30.964744</v>
      </c>
      <c r="E2887" s="4">
        <f>(((((((((-30.7152945/(10/9))+-10.5)+-0.4)*0.98)*1.11)*0.85)-6.5)+3.2)+-0.3)+0.3</f>
        <v>-38.938721478181492</v>
      </c>
      <c r="F2887" s="4">
        <f>((-1.1632483*(1.3/1.5))*0.6)-0.3</f>
        <v>-0.9048891160000001</v>
      </c>
    </row>
    <row r="2888" spans="1:6" x14ac:dyDescent="0.4">
      <c r="A2888" s="4">
        <v>2525.3335499999998</v>
      </c>
      <c r="B2888" s="4">
        <v>1.3314239000000001</v>
      </c>
      <c r="C2888" s="4">
        <v>1.3726206000000001</v>
      </c>
      <c r="D2888" s="4">
        <v>-30.968373</v>
      </c>
      <c r="E2888" s="4">
        <f>(((((((((-30.7540287/(10/9))+-10.5)+-0.4)*0.98)*1.11)*0.85)-6.5)+3.2)+-0.3)+0.3</f>
        <v>-38.970954801192896</v>
      </c>
      <c r="F2888" s="4">
        <f>((-1.1639327*(1.3/1.5))*0.6)-0.3</f>
        <v>-0.90524500399999996</v>
      </c>
    </row>
    <row r="2889" spans="1:6" x14ac:dyDescent="0.4">
      <c r="A2889" s="4">
        <v>2526.2084749999999</v>
      </c>
      <c r="B2889" s="4">
        <v>1.3319346000000001</v>
      </c>
      <c r="C2889" s="4">
        <v>1.3732637000000001</v>
      </c>
      <c r="D2889" s="4">
        <v>-30.971789999999999</v>
      </c>
      <c r="E2889" s="4">
        <f>(((((((((-30.7201284/(10/9))+-10.5)+-0.4)*0.98)*1.11)*0.85)-6.5)+3.2)+-0.3)+0.3</f>
        <v>-38.94274409024279</v>
      </c>
      <c r="F2889" s="4">
        <f>((-1.1647142*(1.3/1.5))*0.6)-0.3</f>
        <v>-0.90565138399999978</v>
      </c>
    </row>
    <row r="2890" spans="1:6" x14ac:dyDescent="0.4">
      <c r="A2890" s="4">
        <v>2527.0834</v>
      </c>
      <c r="B2890" s="4">
        <v>1.3324313999999999</v>
      </c>
      <c r="C2890" s="4">
        <v>1.3734359</v>
      </c>
      <c r="D2890" s="4">
        <v>-30.975227</v>
      </c>
      <c r="E2890" s="4">
        <f>(((((((((-30.7303902/(10/9))+-10.5)+-0.4)*0.98)*1.11)*0.85)-6.5)+3.2)+-0.3)+0.3</f>
        <v>-38.951283621563398</v>
      </c>
      <c r="F2890" s="4">
        <f>((-1.1655787*(1.3/1.5))*0.6)-0.3</f>
        <v>-0.90610092399999997</v>
      </c>
    </row>
    <row r="2891" spans="1:6" x14ac:dyDescent="0.4">
      <c r="A2891" s="4">
        <v>2527.9583250000001</v>
      </c>
      <c r="B2891" s="4">
        <v>1.3327287000000001</v>
      </c>
      <c r="C2891" s="4">
        <v>1.3738345000000001</v>
      </c>
      <c r="D2891" s="4">
        <v>-30.978123999999998</v>
      </c>
      <c r="E2891" s="4">
        <f>(((((((((-30.7481571/(10/9))+-10.5)+-0.4)*0.98)*1.11)*0.85)-6.5)+3.2)+-0.3)+0.3</f>
        <v>-38.966068649435698</v>
      </c>
      <c r="F2891" s="4">
        <f>((-1.1665192*(1.3/1.5))*0.6)-0.3</f>
        <v>-0.90658998400000002</v>
      </c>
    </row>
    <row r="2892" spans="1:6" x14ac:dyDescent="0.4">
      <c r="A2892" s="4">
        <v>2528.8332500000001</v>
      </c>
      <c r="B2892" s="4">
        <v>1.3328408</v>
      </c>
      <c r="C2892" s="4">
        <v>1.3739245</v>
      </c>
      <c r="D2892" s="4">
        <v>-30.981272999999998</v>
      </c>
      <c r="E2892" s="4">
        <f>(((((((((-30.7211688/(10/9))+-10.5)+-0.4)*0.98)*1.11)*0.85)-6.5)+3.2)+-0.3)+0.3</f>
        <v>-38.943609876789594</v>
      </c>
      <c r="F2892" s="4">
        <f>((-1.1674999*(1.3/1.5))*0.6)-0.3</f>
        <v>-0.90709994799999993</v>
      </c>
    </row>
    <row r="2893" spans="1:6" x14ac:dyDescent="0.4">
      <c r="A2893" s="4">
        <v>2529.7081749999998</v>
      </c>
      <c r="B2893" s="4">
        <v>1.3329457</v>
      </c>
      <c r="C2893" s="4">
        <v>1.3741422999999999</v>
      </c>
      <c r="D2893" s="4">
        <v>-30.983709000000001</v>
      </c>
      <c r="E2893" s="4">
        <f>(((((((((-30.7289619/(10/9))+-10.5)+-0.4)*0.98)*1.11)*0.85)-6.5)+3.2)+-0.3)+0.3</f>
        <v>-38.950095037437293</v>
      </c>
      <c r="F2893" s="4">
        <f>((-1.1685724*(1.3/1.5))*0.6)-0.3</f>
        <v>-0.90765764800000004</v>
      </c>
    </row>
    <row r="2894" spans="1:6" x14ac:dyDescent="0.4">
      <c r="A2894" s="4">
        <v>2530.5831000000003</v>
      </c>
      <c r="B2894" s="4">
        <v>1.3333079000000001</v>
      </c>
      <c r="C2894" s="4">
        <v>1.3742794</v>
      </c>
      <c r="D2894" s="4">
        <v>-30.985751</v>
      </c>
      <c r="E2894" s="4">
        <f>(((((((((-30.6921204/(10/9))+-10.5)+-0.4)*0.98)*1.11)*0.85)-6.5)+3.2)+-0.3)+0.3</f>
        <v>-38.919436756906798</v>
      </c>
      <c r="F2894" s="4">
        <f>((-1.1698196*(1.3/1.5))*0.6)-0.3</f>
        <v>-0.90830619199999996</v>
      </c>
    </row>
    <row r="2895" spans="1:6" x14ac:dyDescent="0.4">
      <c r="A2895" s="4">
        <v>2531.4580249999999</v>
      </c>
      <c r="B2895" s="4">
        <v>1.3333495</v>
      </c>
      <c r="C2895" s="4">
        <v>1.3744384000000001</v>
      </c>
      <c r="D2895" s="4">
        <v>-30.988310999999999</v>
      </c>
      <c r="E2895" s="4">
        <f>(((((((((-30.7365669/(10/9))+-10.5)+-0.4)*0.98)*1.11)*0.85)-6.5)+3.2)+-0.3)+0.3</f>
        <v>-38.956423667472293</v>
      </c>
      <c r="F2895" s="4">
        <f>((-1.17112*(1.3/1.5))*0.6)-0.3</f>
        <v>-0.90898239999999997</v>
      </c>
    </row>
    <row r="2896" spans="1:6" x14ac:dyDescent="0.4">
      <c r="A2896" s="4">
        <v>2532.33295</v>
      </c>
      <c r="B2896" s="4">
        <v>1.3339669999999999</v>
      </c>
      <c r="C2896" s="4">
        <v>1.3748631</v>
      </c>
      <c r="D2896" s="4">
        <v>-30.990158999999998</v>
      </c>
      <c r="E2896" s="4">
        <f>(((((((((-30.681405/(10/9))+-10.5)+-0.4)*0.98)*1.11)*0.85)-6.5)+3.2)+-0.3)+0.3</f>
        <v>-38.910519754635004</v>
      </c>
      <c r="F2896" s="4">
        <f>((-1.1723783*(1.3/1.5))*0.6)-0.3</f>
        <v>-0.90963671600000007</v>
      </c>
    </row>
    <row r="2897" spans="1:6" x14ac:dyDescent="0.4">
      <c r="A2897" s="4">
        <v>2533.2078750000001</v>
      </c>
      <c r="B2897" s="4">
        <v>1.3341472999999999</v>
      </c>
      <c r="C2897" s="4">
        <v>1.3750823999999999</v>
      </c>
      <c r="D2897" s="4">
        <v>-30.991921999999999</v>
      </c>
      <c r="E2897" s="4">
        <f>(((((((((-30.6857448/(10/9))+-10.5)+-0.4)*0.98)*1.11)*0.85)-6.5)+3.2)+-0.3)+0.3</f>
        <v>-38.914131192981593</v>
      </c>
      <c r="F2897" s="4">
        <f>((-1.1737214*(1.3/1.5))*0.6)-0.3</f>
        <v>-0.91033512800000005</v>
      </c>
    </row>
    <row r="2898" spans="1:6" x14ac:dyDescent="0.4">
      <c r="A2898" s="4">
        <v>2534.0827999999997</v>
      </c>
      <c r="B2898" s="4">
        <v>1.3343632000000001</v>
      </c>
      <c r="C2898" s="4">
        <v>1.3753343</v>
      </c>
      <c r="D2898" s="4">
        <v>-30.994167999999998</v>
      </c>
      <c r="E2898" s="4">
        <f>(((((((((-30.7177731/(10/9))+-10.5)+-0.4)*0.98)*1.11)*0.85)-6.5)+3.2)+-0.3)+0.3</f>
        <v>-38.940784087307698</v>
      </c>
      <c r="F2898" s="4">
        <f>((-1.1752174*(1.3/1.5))*0.6)-0.3</f>
        <v>-0.91111304800000004</v>
      </c>
    </row>
    <row r="2899" spans="1:6" x14ac:dyDescent="0.4">
      <c r="A2899" s="4">
        <v>2534.9577250000002</v>
      </c>
      <c r="B2899" s="4">
        <v>1.3344948999999999</v>
      </c>
      <c r="C2899" s="4">
        <v>1.375623</v>
      </c>
      <c r="D2899" s="4">
        <v>-30.995979999999999</v>
      </c>
      <c r="E2899" s="4">
        <f>(((((((((-30.6979668/(10/9))+-10.5)+-0.4)*0.98)*1.11)*0.85)-6.5)+3.2)+-0.3)+0.3</f>
        <v>-38.924301938055599</v>
      </c>
      <c r="F2899" s="4">
        <f>((-1.1767708*(1.3/1.5))*0.6)-0.3</f>
        <v>-0.91192081599999986</v>
      </c>
    </row>
    <row r="2900" spans="1:6" x14ac:dyDescent="0.4">
      <c r="A2900" s="4">
        <v>2535.8326499999998</v>
      </c>
      <c r="B2900" s="4">
        <v>1.3348922000000001</v>
      </c>
      <c r="C2900" s="4">
        <v>1.3758073</v>
      </c>
      <c r="D2900" s="4">
        <v>-30.997267999999998</v>
      </c>
      <c r="E2900" s="4">
        <f>(((((((((-30.7027773/(10/9))+-10.5)+-0.4)*0.98)*1.11)*0.85)-6.5)+3.2)+-0.3)+0.3</f>
        <v>-38.9283050774091</v>
      </c>
      <c r="F2900" s="4">
        <f>((-1.1783872*(1.3/1.5))*0.6)-0.3</f>
        <v>-0.91276134399999997</v>
      </c>
    </row>
    <row r="2901" spans="1:6" x14ac:dyDescent="0.4">
      <c r="A2901" s="4">
        <v>2536.7075750000004</v>
      </c>
      <c r="B2901" s="4">
        <v>1.3348658</v>
      </c>
      <c r="C2901" s="4">
        <v>1.3760463000000001</v>
      </c>
      <c r="D2901" s="4">
        <v>-30.998839999999998</v>
      </c>
      <c r="E2901" s="4">
        <f>(((((((((-30.6904419/(10/9))+-10.5)+-0.4)*0.98)*1.11)*0.85)-6.5)+3.2)+-0.3)+0.3</f>
        <v>-38.918039964597291</v>
      </c>
      <c r="F2901" s="4">
        <f>((-1.1801188*(1.3/1.5))*0.6)-0.3</f>
        <v>-0.91366177600000009</v>
      </c>
    </row>
    <row r="2902" spans="1:6" x14ac:dyDescent="0.4">
      <c r="A2902" s="4">
        <v>2537.5825</v>
      </c>
      <c r="B2902" s="4">
        <v>1.3351599000000001</v>
      </c>
      <c r="C2902" s="4">
        <v>1.3762316000000001</v>
      </c>
      <c r="D2902" s="4">
        <v>-30.999773999999999</v>
      </c>
      <c r="E2902" s="4">
        <f>(((((((((-30.6960201/(10/9))+-10.5)+-0.4)*0.98)*1.11)*0.85)-6.5)+3.2)+-0.3)+0.3</f>
        <v>-38.922681958556694</v>
      </c>
      <c r="F2902" s="4">
        <f>((-1.1817968*(1.3/1.5))*0.6)-0.3</f>
        <v>-0.914534336</v>
      </c>
    </row>
    <row r="2903" spans="1:6" x14ac:dyDescent="0.4">
      <c r="A2903" s="4">
        <v>2538.4574249999996</v>
      </c>
      <c r="B2903" s="4">
        <v>1.3355030000000001</v>
      </c>
      <c r="C2903" s="4">
        <v>1.3765562</v>
      </c>
      <c r="D2903" s="4">
        <v>-31.000813999999998</v>
      </c>
      <c r="E2903" s="4">
        <f>(((((((((-30.6982998/(10/9))+-10.5)+-0.4)*0.98)*1.11)*0.85)-6.5)+3.2)+-0.3)+0.3</f>
        <v>-38.924579049666598</v>
      </c>
      <c r="F2903" s="4">
        <f>((-1.1834327*(1.3/1.5))*0.6)-0.3</f>
        <v>-0.915385004</v>
      </c>
    </row>
    <row r="2904" spans="1:6" x14ac:dyDescent="0.4">
      <c r="A2904" s="4">
        <v>2539.3323500000001</v>
      </c>
      <c r="B2904" s="4">
        <v>1.3355026999999999</v>
      </c>
      <c r="C2904" s="4">
        <v>1.3766529999999999</v>
      </c>
      <c r="D2904" s="4">
        <v>-31.001553999999999</v>
      </c>
      <c r="E2904" s="4">
        <f>(((((((((-30.6951516/(10/9))+-10.5)+-0.4)*0.98)*1.11)*0.85)-6.5)+3.2)+-0.3)+0.3</f>
        <v>-38.921959221517191</v>
      </c>
      <c r="F2904" s="4">
        <f>((-1.1851215*(1.3/1.5))*0.6)-0.3</f>
        <v>-0.91626317999999984</v>
      </c>
    </row>
    <row r="2905" spans="1:6" x14ac:dyDescent="0.4">
      <c r="A2905" s="4">
        <v>2540.2072749999998</v>
      </c>
      <c r="B2905" s="4">
        <v>1.3359281000000001</v>
      </c>
      <c r="C2905" s="4">
        <v>1.3770370000000001</v>
      </c>
      <c r="D2905" s="4">
        <v>-31.002026999999998</v>
      </c>
      <c r="E2905" s="4">
        <f>(((((((((-30.7243107/(10/9))+-10.5)+-0.4)*0.98)*1.11)*0.85)-6.5)+3.2)+-0.3)+0.3</f>
        <v>-38.946224462286892</v>
      </c>
      <c r="F2905" s="4">
        <f>((-1.1867925*(1.3/1.5))*0.6)-0.3</f>
        <v>-0.91713209999999989</v>
      </c>
    </row>
    <row r="2906" spans="1:6" x14ac:dyDescent="0.4">
      <c r="A2906" s="4">
        <v>2541.0822000000003</v>
      </c>
      <c r="B2906" s="4">
        <v>1.3361053000000001</v>
      </c>
      <c r="C2906" s="4">
        <v>1.3771898</v>
      </c>
      <c r="D2906" s="4">
        <v>-31.002685</v>
      </c>
      <c r="E2906" s="4">
        <f>(((((((((-30.6968652/(10/9))+-10.5)+-0.4)*0.98)*1.11)*0.85)-6.5)+3.2)+-0.3)+0.3</f>
        <v>-38.923385222888399</v>
      </c>
      <c r="F2906" s="4">
        <f>((-1.1885493*(1.3/1.5))*0.6)-0.3</f>
        <v>-0.918045636</v>
      </c>
    </row>
    <row r="2907" spans="1:6" x14ac:dyDescent="0.4">
      <c r="A2907" s="4">
        <v>2541.9571249999999</v>
      </c>
      <c r="B2907" s="4">
        <v>1.3362978000000001</v>
      </c>
      <c r="C2907" s="4">
        <v>1.3771545999999999</v>
      </c>
      <c r="D2907" s="4">
        <v>-31.002914000000001</v>
      </c>
      <c r="E2907" s="4">
        <f>(((((((((-30.6947808/(10/9))+-10.5)+-0.4)*0.98)*1.11)*0.85)-6.5)+3.2)+-0.3)+0.3</f>
        <v>-38.921650653993602</v>
      </c>
      <c r="F2907" s="4">
        <f>((-1.1902914*(1.3/1.5))*0.6)-0.3</f>
        <v>-0.91895152800000002</v>
      </c>
    </row>
    <row r="2908" spans="1:6" x14ac:dyDescent="0.4">
      <c r="A2908" s="4">
        <v>2542.83205</v>
      </c>
      <c r="B2908" s="4">
        <v>1.3367443999999999</v>
      </c>
      <c r="C2908" s="4">
        <v>1.3775432999999999</v>
      </c>
      <c r="D2908" s="4">
        <v>-31.003055</v>
      </c>
      <c r="E2908" s="4">
        <f>(((((((((-30.6829161/(10/9))+-10.5)+-0.4)*0.98)*1.11)*0.85)-6.5)+3.2)+-0.3)+0.3</f>
        <v>-38.911777242188691</v>
      </c>
      <c r="F2908" s="4">
        <f>((-1.1920818*(1.3/1.5))*0.6)-0.3</f>
        <v>-0.91988253599999981</v>
      </c>
    </row>
    <row r="2909" spans="1:6" x14ac:dyDescent="0.4">
      <c r="A2909" s="4">
        <v>2543.7069750000001</v>
      </c>
      <c r="B2909" s="4">
        <v>1.3371500000000001</v>
      </c>
      <c r="C2909" s="4">
        <v>1.3778980999999999</v>
      </c>
      <c r="D2909" s="4">
        <v>-31.003034</v>
      </c>
      <c r="E2909" s="4">
        <f>(((((((((-30.6998244/(10/9))+-10.5)+-0.4)*0.98)*1.11)*0.85)-6.5)+3.2)+-0.3)+0.3</f>
        <v>-38.9258477714748</v>
      </c>
      <c r="F2909" s="4">
        <f>((-1.1938733*(1.3/1.5))*0.6)-0.3</f>
        <v>-0.92081411599999985</v>
      </c>
    </row>
    <row r="2910" spans="1:6" x14ac:dyDescent="0.4">
      <c r="A2910" s="4">
        <v>2544.5819000000001</v>
      </c>
      <c r="B2910" s="4">
        <v>1.3369371000000001</v>
      </c>
      <c r="C2910" s="4">
        <v>1.3779413</v>
      </c>
      <c r="D2910" s="4">
        <v>-31.002590999999999</v>
      </c>
      <c r="E2910" s="4">
        <f>(((((((((-30.6860607/(10/9))+-10.5)+-0.4)*0.98)*1.11)*0.85)-6.5)+3.2)+-0.3)+0.3</f>
        <v>-38.914394074536894</v>
      </c>
      <c r="F2910" s="4">
        <f>((-1.1957105*(1.3/1.5))*0.6)-0.3</f>
        <v>-0.92176945999999993</v>
      </c>
    </row>
    <row r="2911" spans="1:6" x14ac:dyDescent="0.4">
      <c r="A2911" s="4">
        <v>2545.4568250000002</v>
      </c>
      <c r="B2911" s="4">
        <v>1.3370721000000001</v>
      </c>
      <c r="C2911" s="4">
        <v>1.3779695000000001</v>
      </c>
      <c r="D2911" s="4">
        <v>-31.002254000000001</v>
      </c>
      <c r="E2911" s="4">
        <f>(((((((((-30.6954612/(10/9))+-10.5)+-0.4)*0.98)*1.11)*0.85)-6.5)+3.2)+-0.3)+0.3</f>
        <v>-38.922216860420399</v>
      </c>
      <c r="F2911" s="4">
        <f>((-1.1975205*(1.3/1.5))*0.6)-0.3</f>
        <v>-0.9227106599999999</v>
      </c>
    </row>
    <row r="2912" spans="1:6" x14ac:dyDescent="0.4">
      <c r="A2912" s="4">
        <v>2546.3317499999998</v>
      </c>
      <c r="B2912" s="4">
        <v>1.3375098000000001</v>
      </c>
      <c r="C2912" s="4">
        <v>1.3783334</v>
      </c>
      <c r="D2912" s="4">
        <v>-31.002188999999998</v>
      </c>
      <c r="E2912" s="4">
        <f>(((((((((-30.6785043/(10/9))+-10.5)+-0.4)*0.98)*1.11)*0.85)-6.5)+3.2)+-0.3)+0.3</f>
        <v>-38.908105887818095</v>
      </c>
      <c r="F2912" s="4">
        <f>((-1.1993349*(1.3/1.5))*0.6)-0.3</f>
        <v>-0.92365414800000001</v>
      </c>
    </row>
    <row r="2913" spans="1:6" x14ac:dyDescent="0.4">
      <c r="A2913" s="4">
        <v>2547.2066749999999</v>
      </c>
      <c r="B2913" s="4">
        <v>1.3378308999999999</v>
      </c>
      <c r="C2913" s="4">
        <v>1.3787160000000001</v>
      </c>
      <c r="D2913" s="4">
        <v>-31.002119999999998</v>
      </c>
      <c r="E2913" s="4">
        <f>(((((((((-30.6918252/(10/9))+-10.5)+-0.4)*0.98)*1.11)*0.85)-6.5)+3.2)+-0.3)+0.3</f>
        <v>-38.919191101208398</v>
      </c>
      <c r="F2913" s="4">
        <f>((-1.2011268*(1.3/1.5))*0.6)-0.3</f>
        <v>-0.92458593599999994</v>
      </c>
    </row>
    <row r="2914" spans="1:6" x14ac:dyDescent="0.4">
      <c r="A2914" s="4">
        <v>2548.0816</v>
      </c>
      <c r="B2914" s="4">
        <v>1.3381354999999999</v>
      </c>
      <c r="C2914" s="4">
        <v>1.3788834999999999</v>
      </c>
      <c r="D2914" s="4">
        <v>-31.001446999999999</v>
      </c>
      <c r="E2914" s="4">
        <f>(((((((((-30.7010709/(10/9))+-10.5)+-0.4)*0.98)*1.11)*0.85)-6.5)+3.2)+-0.3)+0.3</f>
        <v>-38.926885067640292</v>
      </c>
      <c r="F2914" s="4">
        <f>((-1.2028733*(1.3/1.5))*0.6)-0.3</f>
        <v>-0.92549411600000009</v>
      </c>
    </row>
    <row r="2915" spans="1:6" x14ac:dyDescent="0.4">
      <c r="A2915" s="4">
        <v>2548.9565250000001</v>
      </c>
      <c r="B2915" s="4">
        <v>1.3383379</v>
      </c>
      <c r="C2915" s="4">
        <v>1.3790278</v>
      </c>
      <c r="D2915" s="4">
        <v>-31.000588999999998</v>
      </c>
      <c r="E2915" s="4">
        <f>(((((((((-30.6953307/(10/9))+-10.5)+-0.4)*0.98)*1.11)*0.85)-6.5)+3.2)+-0.3)+0.3</f>
        <v>-38.922108262626892</v>
      </c>
      <c r="F2915" s="4">
        <f>((-1.2045219*(1.3/1.5))*0.6)-0.3</f>
        <v>-0.92635138800000005</v>
      </c>
    </row>
    <row r="2916" spans="1:6" x14ac:dyDescent="0.4">
      <c r="A2916" s="4">
        <v>2549.8314500000001</v>
      </c>
      <c r="B2916" s="4">
        <v>1.3386401000000001</v>
      </c>
      <c r="C2916" s="4">
        <v>1.3790739000000001</v>
      </c>
      <c r="D2916" s="4">
        <v>-30.999980000000001</v>
      </c>
      <c r="E2916" s="4">
        <f>(((((((((-30.6824184/(10/9))+-10.5)+-0.4)*0.98)*1.11)*0.85)-6.5)+3.2)+-0.3)+0.3</f>
        <v>-38.911363072672799</v>
      </c>
      <c r="F2916" s="4">
        <f>((-1.2061549*(1.3/1.5))*0.6)-0.3</f>
        <v>-0.92720054799999985</v>
      </c>
    </row>
    <row r="2917" spans="1:6" x14ac:dyDescent="0.4">
      <c r="A2917" s="4">
        <v>2550.7063750000002</v>
      </c>
      <c r="B2917" s="4">
        <v>1.3387184999999999</v>
      </c>
      <c r="C2917" s="4">
        <v>1.3797393</v>
      </c>
      <c r="D2917" s="4">
        <v>-30.999143</v>
      </c>
      <c r="E2917" s="4">
        <f>(((((((((-30.7069794/(10/9))+-10.5)+-0.4)*0.98)*1.11)*0.85)-6.5)+3.2)+-0.3)+0.3</f>
        <v>-38.931801926359796</v>
      </c>
      <c r="F2917" s="4">
        <f>((-1.2078197*(1.3/1.5))*0.6)-0.3</f>
        <v>-0.92806624399999982</v>
      </c>
    </row>
    <row r="2918" spans="1:6" x14ac:dyDescent="0.4">
      <c r="A2918" s="4">
        <v>2551.5812999999998</v>
      </c>
      <c r="B2918" s="4">
        <v>1.3389542999999999</v>
      </c>
      <c r="C2918" s="4">
        <v>1.3798634999999999</v>
      </c>
      <c r="D2918" s="4">
        <v>-30.998224999999998</v>
      </c>
      <c r="E2918" s="4">
        <f>(((((((((-30.6675423/(10/9))+-10.5)+-0.4)*0.98)*1.11)*0.85)-6.5)+3.2)+-0.3)+0.3</f>
        <v>-38.898983673164096</v>
      </c>
      <c r="F2918" s="4">
        <f>((-1.2094495*(1.3/1.5))*0.6)-0.3</f>
        <v>-0.92891374000000004</v>
      </c>
    </row>
    <row r="2919" spans="1:6" x14ac:dyDescent="0.4">
      <c r="A2919" s="4">
        <v>2552.4562249999999</v>
      </c>
      <c r="B2919" s="4">
        <v>1.3392564</v>
      </c>
      <c r="C2919" s="4">
        <v>1.3798549</v>
      </c>
      <c r="D2919" s="4">
        <v>-30.99727</v>
      </c>
      <c r="E2919" s="4">
        <f>(((((((((-30.6935793/(10/9))+-10.5)+-0.4)*0.98)*1.11)*0.85)-6.5)+3.2)+-0.3)+0.3</f>
        <v>-38.920650805343101</v>
      </c>
      <c r="F2919" s="4">
        <f>((-1.211017*(1.3/1.5))*0.6)-0.3</f>
        <v>-0.92972884000000011</v>
      </c>
    </row>
    <row r="2920" spans="1:6" x14ac:dyDescent="0.4">
      <c r="A2920" s="4">
        <v>2553.33115</v>
      </c>
      <c r="B2920" s="4">
        <v>1.3394003999999999</v>
      </c>
      <c r="C2920" s="4">
        <v>1.3798953</v>
      </c>
      <c r="D2920" s="4">
        <v>-30.995950000000001</v>
      </c>
      <c r="E2920" s="4">
        <f>(((((((((-30.6863046/(10/9))+-10.5)+-0.4)*0.98)*1.11)*0.85)-6.5)+3.2)+-0.3)+0.3</f>
        <v>-38.914597040068195</v>
      </c>
      <c r="F2920" s="4">
        <f>((-1.2125629*(1.3/1.5))*0.6)-0.3</f>
        <v>-0.93053270799999988</v>
      </c>
    </row>
    <row r="2921" spans="1:6" x14ac:dyDescent="0.4">
      <c r="A2921" s="4">
        <v>2554.2060750000001</v>
      </c>
      <c r="B2921" s="4">
        <v>1.3395611999999999</v>
      </c>
      <c r="C2921" s="4">
        <v>1.3799486000000001</v>
      </c>
      <c r="D2921" s="4">
        <v>-30.994854999999998</v>
      </c>
      <c r="E2921" s="4">
        <f>(((((((((-30.6898272/(10/9))+-10.5)+-0.4)*0.98)*1.11)*0.85)-6.5)+3.2)+-0.3)+0.3</f>
        <v>-38.917528431542401</v>
      </c>
      <c r="F2921" s="4">
        <f>((-1.2140126*(1.3/1.5))*0.6)-0.3</f>
        <v>-0.93128655199999999</v>
      </c>
    </row>
    <row r="2922" spans="1:6" x14ac:dyDescent="0.4">
      <c r="A2922" s="4">
        <v>2555.0810000000001</v>
      </c>
      <c r="B2922" s="4">
        <v>1.3398650999999999</v>
      </c>
      <c r="C2922" s="4">
        <v>1.3802241</v>
      </c>
      <c r="D2922" s="4">
        <v>-30.993490999999999</v>
      </c>
      <c r="E2922" s="4">
        <f>(((((((((-30.7248318/(10/9))+-10.5)+-0.4)*0.98)*1.11)*0.85)-6.5)+3.2)+-0.3)+0.3</f>
        <v>-38.946658104510597</v>
      </c>
      <c r="F2922" s="4">
        <f>((-1.2154304*(1.3/1.5))*0.6)-0.3</f>
        <v>-0.93202380800000006</v>
      </c>
    </row>
    <row r="2923" spans="1:6" x14ac:dyDescent="0.4">
      <c r="A2923" s="4">
        <v>2555.9559249999998</v>
      </c>
      <c r="B2923" s="4">
        <v>1.3399920000000001</v>
      </c>
      <c r="C2923" s="4">
        <v>1.3804103999999999</v>
      </c>
      <c r="D2923" s="4">
        <v>-30.992027999999998</v>
      </c>
      <c r="E2923" s="4">
        <f>(((((((((-30.6860265/(10/9))+-10.5)+-0.4)*0.98)*1.11)*0.85)-6.5)+3.2)+-0.3)+0.3</f>
        <v>-38.914365614425492</v>
      </c>
      <c r="F2923" s="4">
        <f>((-1.2167919*(1.3/1.5))*0.6)-0.3</f>
        <v>-0.9327317879999999</v>
      </c>
    </row>
    <row r="2924" spans="1:6" x14ac:dyDescent="0.4">
      <c r="A2924" s="4">
        <v>2556.8308500000003</v>
      </c>
      <c r="B2924" s="4">
        <v>1.3399698</v>
      </c>
      <c r="C2924" s="4">
        <v>1.3804784000000001</v>
      </c>
      <c r="D2924" s="4">
        <v>-30.990503</v>
      </c>
      <c r="E2924" s="4">
        <f>(((((((((-30.7146771/(10/9))+-10.5)+-0.4)*0.98)*1.11)*0.85)-6.5)+3.2)+-0.3)+0.3</f>
        <v>-38.93820769827569</v>
      </c>
      <c r="F2924" s="4">
        <f>((-1.2181027*(1.3/1.5))*0.6)-0.3</f>
        <v>-0.93341340399999995</v>
      </c>
    </row>
    <row r="2925" spans="1:6" x14ac:dyDescent="0.4">
      <c r="A2925" s="4">
        <v>2557.7057749999999</v>
      </c>
      <c r="B2925" s="4">
        <v>1.3404035999999999</v>
      </c>
      <c r="C2925" s="4">
        <v>1.3805547</v>
      </c>
      <c r="D2925" s="4">
        <v>-30.989158</v>
      </c>
      <c r="E2925" s="4">
        <f>(((((((((-30.6828675/(10/9))+-10.5)+-0.4)*0.98)*1.11)*0.85)-6.5)+3.2)+-0.3)+0.3</f>
        <v>-38.911736798872504</v>
      </c>
      <c r="F2925" s="4">
        <f>((-1.2193886*(1.3/1.5))*0.6)-0.3</f>
        <v>-0.93408207200000004</v>
      </c>
    </row>
    <row r="2926" spans="1:6" x14ac:dyDescent="0.4">
      <c r="A2926" s="4">
        <v>2558.5807</v>
      </c>
      <c r="B2926" s="4">
        <v>1.3404077000000001</v>
      </c>
      <c r="C2926" s="4">
        <v>1.3807859</v>
      </c>
      <c r="D2926" s="4">
        <v>-30.988264999999998</v>
      </c>
      <c r="E2926" s="4">
        <f>(((((((((-30.6856278/(10/9))+-10.5)+-0.4)*0.98)*1.11)*0.85)-6.5)+3.2)+-0.3)+0.3</f>
        <v>-38.914033829442594</v>
      </c>
      <c r="F2926" s="4">
        <f>((-1.2205846*(1.3/1.5))*0.6)-0.3</f>
        <v>-0.93470399199999998</v>
      </c>
    </row>
    <row r="2927" spans="1:6" x14ac:dyDescent="0.4">
      <c r="A2927" s="4">
        <v>2559.4556250000001</v>
      </c>
      <c r="B2927" s="4">
        <v>1.3407487</v>
      </c>
      <c r="C2927" s="4">
        <v>1.3809761</v>
      </c>
      <c r="D2927" s="4">
        <v>-30.986688000000001</v>
      </c>
      <c r="E2927" s="4">
        <f>(((((((((-30.7037628/(10/9))+-10.5)+-0.4)*0.98)*1.11)*0.85)-6.5)+3.2)+-0.3)+0.3</f>
        <v>-38.929125177987601</v>
      </c>
      <c r="F2927" s="4">
        <f>((-1.2216504*(1.3/1.5))*0.6)-0.3</f>
        <v>-0.93525820800000004</v>
      </c>
    </row>
    <row r="2928" spans="1:6" x14ac:dyDescent="0.4">
      <c r="A2928" s="4">
        <v>2560.3305499999997</v>
      </c>
      <c r="B2928" s="4">
        <v>1.3409631</v>
      </c>
      <c r="C2928" s="4">
        <v>1.3812065</v>
      </c>
      <c r="D2928" s="4">
        <v>-30.985105000000001</v>
      </c>
      <c r="E2928" s="4">
        <f>(((((((((-30.7205712/(10/9))+-10.5)+-0.4)*0.98)*1.11)*0.85)-6.5)+3.2)+-0.3)+0.3</f>
        <v>-38.943112573790394</v>
      </c>
      <c r="F2928" s="4">
        <f>((-1.2227193*(1.3/1.5))*0.6)-0.3</f>
        <v>-0.93581403600000002</v>
      </c>
    </row>
    <row r="2929" spans="1:6" x14ac:dyDescent="0.4">
      <c r="A2929" s="4">
        <v>2561.2054750000002</v>
      </c>
      <c r="B2929" s="4">
        <v>1.3412879</v>
      </c>
      <c r="C2929" s="4">
        <v>1.3817934999999999</v>
      </c>
      <c r="D2929" s="4">
        <v>-30.983684</v>
      </c>
      <c r="E2929" s="4">
        <f>(((((((((-30.6944721/(10/9))+-10.5)+-0.4)*0.98)*1.11)*0.85)-6.5)+3.2)+-0.3)+0.3</f>
        <v>-38.921393764040694</v>
      </c>
      <c r="F2929" s="4">
        <f>((-1.2237025*(1.3/1.5))*0.6)-0.3</f>
        <v>-0.9363252999999998</v>
      </c>
    </row>
    <row r="2930" spans="1:6" x14ac:dyDescent="0.4">
      <c r="A2930" s="4">
        <v>2562.0803999999998</v>
      </c>
      <c r="B2930" s="4">
        <v>1.3417006</v>
      </c>
      <c r="C2930" s="4">
        <v>1.3816866999999999</v>
      </c>
      <c r="D2930" s="4">
        <v>-30.982530000000001</v>
      </c>
      <c r="E2930" s="4">
        <f>(((((((((-30.7362582/(10/9))+-10.5)+-0.4)*0.98)*1.11)*0.85)-6.5)+3.2)+-0.3)+0.3</f>
        <v>-38.9561667775194</v>
      </c>
      <c r="F2930" s="4">
        <f>((-1.2246586*(1.3/1.5))*0.6)-0.3</f>
        <v>-0.93682247200000002</v>
      </c>
    </row>
    <row r="2931" spans="1:6" x14ac:dyDescent="0.4">
      <c r="A2931" s="4">
        <v>2562.9553250000004</v>
      </c>
      <c r="B2931" s="4">
        <v>1.3415235999999999</v>
      </c>
      <c r="C2931" s="4">
        <v>1.3818642000000001</v>
      </c>
      <c r="D2931" s="4">
        <v>-30.981325999999999</v>
      </c>
      <c r="E2931" s="4">
        <f>(((((((((-30.7235484/(10/9))+-10.5)+-0.4)*0.98)*1.11)*0.85)-6.5)+3.2)+-0.3)+0.3</f>
        <v>-38.945590101382791</v>
      </c>
      <c r="F2931" s="4">
        <f>((-1.2255789*(1.3/1.5))*0.6)-0.3</f>
        <v>-0.93730102799999981</v>
      </c>
    </row>
    <row r="2932" spans="1:6" x14ac:dyDescent="0.4">
      <c r="A2932" s="4">
        <v>2563.83025</v>
      </c>
      <c r="B2932" s="4">
        <v>1.341898</v>
      </c>
      <c r="C2932" s="4">
        <v>1.3819005</v>
      </c>
      <c r="D2932" s="4">
        <v>-30.979471999999998</v>
      </c>
      <c r="E2932" s="4">
        <f>(((((((((-30.6981729/(10/9))+-10.5)+-0.4)*0.98)*1.11)*0.85)-6.5)+3.2)+-0.3)+0.3</f>
        <v>-38.924473447674302</v>
      </c>
      <c r="F2932" s="4">
        <f>((-1.2264212*(1.3/1.5))*0.6)-0.3</f>
        <v>-0.93773902400000009</v>
      </c>
    </row>
    <row r="2933" spans="1:6" x14ac:dyDescent="0.4">
      <c r="A2933" s="4">
        <v>2564.7051749999996</v>
      </c>
      <c r="B2933" s="4">
        <v>1.3418136000000001</v>
      </c>
      <c r="C2933" s="4">
        <v>1.3817704</v>
      </c>
      <c r="D2933" s="4">
        <v>-30.978300999999998</v>
      </c>
      <c r="E2933" s="4">
        <f>(((((((((-30.7215774/(10/9))+-10.5)+-0.4)*0.98)*1.11)*0.85)-6.5)+3.2)+-0.3)+0.3</f>
        <v>-38.943949900225796</v>
      </c>
      <c r="F2933" s="4">
        <f>((-1.2271874*(1.3/1.5))*0.6)-0.3</f>
        <v>-0.93813744799999998</v>
      </c>
    </row>
    <row r="2934" spans="1:6" x14ac:dyDescent="0.4">
      <c r="A2934" s="4">
        <v>2565.5801000000001</v>
      </c>
      <c r="B2934" s="4">
        <v>1.3420634</v>
      </c>
      <c r="C2934" s="4">
        <v>1.3820882999999999</v>
      </c>
      <c r="D2934" s="4">
        <v>-30.977209999999999</v>
      </c>
      <c r="E2934" s="4">
        <f>(((((((((-30.6896859/(10/9))+-10.5)+-0.4)*0.98)*1.11)*0.85)-6.5)+3.2)+-0.3)+0.3</f>
        <v>-38.917410846345298</v>
      </c>
      <c r="F2934" s="4">
        <f>((-1.227797*(1.3/1.5))*0.6)-0.3</f>
        <v>-0.93845443999999989</v>
      </c>
    </row>
    <row r="2935" spans="1:6" x14ac:dyDescent="0.4">
      <c r="A2935" s="4">
        <v>2566.4550249999998</v>
      </c>
      <c r="B2935" s="4">
        <v>1.342473</v>
      </c>
      <c r="C2935" s="4">
        <v>1.3826856999999999</v>
      </c>
      <c r="D2935" s="4">
        <v>-30.976243</v>
      </c>
      <c r="E2935" s="4">
        <f>(((((((((-30.6894906/(10/9))+-10.5)+-0.4)*0.98)*1.11)*0.85)-6.5)+3.2)+-0.3)+0.3</f>
        <v>-38.917248324130192</v>
      </c>
      <c r="F2935" s="4">
        <f>((-1.2283*(1.3/1.5))*0.6)-0.3</f>
        <v>-0.93871599999999988</v>
      </c>
    </row>
    <row r="2936" spans="1:6" x14ac:dyDescent="0.4">
      <c r="A2936" s="4">
        <v>2567.3299500000003</v>
      </c>
      <c r="B2936" s="4">
        <v>1.3424178</v>
      </c>
      <c r="C2936" s="4">
        <v>1.3827510000000001</v>
      </c>
      <c r="D2936" s="4">
        <v>-30.975422999999999</v>
      </c>
      <c r="E2936" s="4">
        <f>(((((((((-30.6924876/(10/9))+-10.5)+-0.4)*0.98)*1.11)*0.85)-6.5)+3.2)+-0.3)+0.3</f>
        <v>-38.919742328629198</v>
      </c>
      <c r="F2936" s="4">
        <f>((-1.2287853*(1.3/1.5))*0.6)-0.3</f>
        <v>-0.93896835599999995</v>
      </c>
    </row>
    <row r="2937" spans="1:6" x14ac:dyDescent="0.4">
      <c r="A2937" s="4">
        <v>2568.2048749999999</v>
      </c>
      <c r="B2937" s="4">
        <v>1.3428945999999999</v>
      </c>
      <c r="C2937" s="4">
        <v>1.382854</v>
      </c>
      <c r="D2937" s="4">
        <v>-30.974515</v>
      </c>
      <c r="E2937" s="4">
        <f>(((((((((-30.6880344/(10/9))+-10.5)+-0.4)*0.98)*1.11)*0.85)-6.5)+3.2)+-0.3)+0.3</f>
        <v>-38.916036522544793</v>
      </c>
      <c r="F2937" s="4">
        <f>((-1.2292209*(1.3/1.5))*0.6)-0.3</f>
        <v>-0.93919486799999996</v>
      </c>
    </row>
    <row r="2938" spans="1:6" x14ac:dyDescent="0.4">
      <c r="A2938" s="4">
        <v>2569.0798</v>
      </c>
      <c r="B2938" s="4">
        <v>1.3430437</v>
      </c>
      <c r="C2938" s="4">
        <v>1.3832557000000001</v>
      </c>
      <c r="D2938" s="4">
        <v>-30.973561</v>
      </c>
      <c r="E2938" s="4">
        <f>(((((((((-30.713832/(10/9))+-10.5)+-0.4)*0.98)*1.11)*0.85)-6.5)+3.2)+-0.3)+0.3</f>
        <v>-38.937504433943992</v>
      </c>
      <c r="F2938" s="4">
        <f>((-1.2295057*(1.3/1.5))*0.6)-0.3</f>
        <v>-0.93934296399999995</v>
      </c>
    </row>
    <row r="2939" spans="1:6" x14ac:dyDescent="0.4">
      <c r="A2939" s="4">
        <v>2569.9547250000001</v>
      </c>
      <c r="B2939" s="4">
        <v>1.3435216999999999</v>
      </c>
      <c r="C2939" s="4">
        <v>1.3834645999999999</v>
      </c>
      <c r="D2939" s="4">
        <v>-30.971941999999999</v>
      </c>
      <c r="E2939" s="4">
        <f>(((((((((-30.6834516/(10/9))+-10.5)+-0.4)*0.98)*1.11)*0.85)-6.5)+3.2)+-0.3)+0.3</f>
        <v>-38.912222867617203</v>
      </c>
      <c r="F2939" s="4">
        <f>((-1.2297168*(1.3/1.5))*0.6)-0.3</f>
        <v>-0.93945273600000001</v>
      </c>
    </row>
    <row r="2940" spans="1:6" x14ac:dyDescent="0.4">
      <c r="A2940" s="4">
        <v>2570.8296500000001</v>
      </c>
      <c r="B2940" s="4">
        <v>1.3432652</v>
      </c>
      <c r="C2940" s="4">
        <v>1.383229</v>
      </c>
      <c r="D2940" s="4">
        <v>-30.971166</v>
      </c>
      <c r="E2940" s="4">
        <f>(((((((((-30.720771/(10/9))+-10.5)+-0.4)*0.98)*1.11)*0.85)-6.5)+3.2)+-0.3)+0.3</f>
        <v>-38.943278840756996</v>
      </c>
      <c r="F2940" s="4">
        <f>((-1.229946*(1.3/1.5))*0.6)-0.3</f>
        <v>-0.93957191999999989</v>
      </c>
    </row>
    <row r="2941" spans="1:6" x14ac:dyDescent="0.4">
      <c r="A2941" s="4">
        <v>2571.7045750000002</v>
      </c>
      <c r="B2941" s="4">
        <v>1.3432274</v>
      </c>
      <c r="C2941" s="4">
        <v>1.3832271</v>
      </c>
      <c r="D2941" s="4">
        <v>-30.970106999999999</v>
      </c>
      <c r="E2941" s="4">
        <f>(((((((((-30.7121256/(10/9))+-10.5)+-0.4)*0.98)*1.11)*0.85)-6.5)+3.2)+-0.3)+0.3</f>
        <v>-38.936084424175199</v>
      </c>
      <c r="F2941" s="4">
        <f>((-1.2300549*(1.3/1.5))*0.6)-0.3</f>
        <v>-0.93962854799999995</v>
      </c>
    </row>
    <row r="2942" spans="1:6" x14ac:dyDescent="0.4">
      <c r="A2942" s="4">
        <v>2572.5794999999998</v>
      </c>
      <c r="B2942" s="4">
        <v>1.3435832000000001</v>
      </c>
      <c r="C2942" s="4">
        <v>1.3835242000000001</v>
      </c>
      <c r="D2942" s="4">
        <v>-30.969711</v>
      </c>
      <c r="E2942" s="4">
        <f>(((((((((-30.7110582/(10/9))+-10.5)+-0.4)*0.98)*1.11)*0.85)-6.5)+3.2)+-0.3)+0.3</f>
        <v>-38.935196169119394</v>
      </c>
      <c r="F2942" s="4">
        <f>((-1.230082*(1.3/1.5))*0.6)-0.3</f>
        <v>-0.93964263999999997</v>
      </c>
    </row>
    <row r="2943" spans="1:6" x14ac:dyDescent="0.4">
      <c r="A2943" s="4">
        <v>2573.4544249999999</v>
      </c>
      <c r="B2943" s="4">
        <v>1.3436984999999999</v>
      </c>
      <c r="C2943" s="4">
        <v>1.3835398999999999</v>
      </c>
      <c r="D2943" s="4">
        <v>-30.969093999999998</v>
      </c>
      <c r="E2943" s="4">
        <f>(((((((((-30.7030104/(10/9))+-10.5)+-0.4)*0.98)*1.11)*0.85)-6.5)+3.2)+-0.3)+0.3</f>
        <v>-38.928499055536797</v>
      </c>
      <c r="F2943" s="4">
        <f>((-1.2300853*(1.3/1.5))*0.6)-0.3</f>
        <v>-0.93964435600000007</v>
      </c>
    </row>
    <row r="2944" spans="1:6" x14ac:dyDescent="0.4">
      <c r="A2944" s="4">
        <v>2574.32935</v>
      </c>
      <c r="B2944" s="4">
        <v>1.3438783999999999</v>
      </c>
      <c r="C2944" s="4">
        <v>1.3839537</v>
      </c>
      <c r="D2944" s="4">
        <v>-30.968522</v>
      </c>
      <c r="E2944" s="4">
        <f>(((((((((-30.7192185/(10/9))+-10.5)+-0.4)*0.98)*1.11)*0.85)-6.5)+3.2)+-0.3)+0.3</f>
        <v>-38.9419869014895</v>
      </c>
      <c r="F2944" s="4">
        <f>((-1.2300272*(1.3/1.5))*0.6)-0.3</f>
        <v>-0.9396141440000001</v>
      </c>
    </row>
    <row r="2945" spans="1:6" x14ac:dyDescent="0.4">
      <c r="A2945" s="4">
        <v>2575.2042750000001</v>
      </c>
      <c r="B2945" s="4">
        <v>1.3438456999999999</v>
      </c>
      <c r="C2945" s="4">
        <v>1.3838462</v>
      </c>
      <c r="D2945" s="4">
        <v>-30.96791</v>
      </c>
      <c r="E2945" s="4">
        <f>(((((((((-30.7190952/(10/9))+-10.5)+-0.4)*0.98)*1.11)*0.85)-6.5)+3.2)+-0.3)+0.3</f>
        <v>-38.941884295298401</v>
      </c>
      <c r="F2945" s="4">
        <f>((-1.2300295*(1.3/1.5))*0.6)-0.3</f>
        <v>-0.93961534000000002</v>
      </c>
    </row>
    <row r="2946" spans="1:6" x14ac:dyDescent="0.4">
      <c r="A2946" s="4">
        <v>2576.0792000000001</v>
      </c>
      <c r="B2946" s="4">
        <v>1.3440384999999999</v>
      </c>
      <c r="C2946" s="4">
        <v>1.3843335000000001</v>
      </c>
      <c r="D2946" s="4">
        <v>-30.967621999999999</v>
      </c>
      <c r="E2946" s="4">
        <f>(((((((((-30.705579/(10/9))+-10.5)+-0.4)*0.98)*1.11)*0.85)-6.5)+3.2)+-0.3)+0.3</f>
        <v>-38.930636559692999</v>
      </c>
      <c r="F2946" s="4">
        <f>((-1.2299689*(1.3/1.5))*0.6)-0.3</f>
        <v>-0.93958382799999995</v>
      </c>
    </row>
    <row r="2947" spans="1:6" x14ac:dyDescent="0.4">
      <c r="A2947" s="4">
        <v>2576.9541250000002</v>
      </c>
      <c r="B2947" s="4">
        <v>1.3443654</v>
      </c>
      <c r="C2947" s="4">
        <v>1.3843734999999999</v>
      </c>
      <c r="D2947" s="4">
        <v>-30.967675</v>
      </c>
      <c r="E2947" s="4">
        <f>(((((((((-30.7342422/(10/9))+-10.5)+-0.4)*0.98)*1.11)*0.85)-6.5)+3.2)+-0.3)+0.3</f>
        <v>-38.954489128847399</v>
      </c>
      <c r="F2947" s="4">
        <f>((-1.2298313*(1.3/1.5))*0.6)-0.3</f>
        <v>-0.93951227600000009</v>
      </c>
    </row>
    <row r="2948" spans="1:6" x14ac:dyDescent="0.4">
      <c r="A2948" s="4">
        <v>2577.8290499999998</v>
      </c>
      <c r="B2948" s="4">
        <v>1.3444488999999999</v>
      </c>
      <c r="C2948" s="4">
        <v>1.3845809</v>
      </c>
      <c r="D2948" s="4">
        <v>-30.967430999999998</v>
      </c>
      <c r="E2948" s="4">
        <f>(((((((((-30.7232361/(10/9))+-10.5)+-0.4)*0.98)*1.11)*0.85)-6.5)+3.2)+-0.3)+0.3</f>
        <v>-38.945330215628694</v>
      </c>
      <c r="F2948" s="4">
        <f>((-1.2296143*(1.3/1.5))*0.6)-0.3</f>
        <v>-0.93939943599999998</v>
      </c>
    </row>
    <row r="2949" spans="1:6" x14ac:dyDescent="0.4">
      <c r="A2949" s="4">
        <v>2578.7039749999999</v>
      </c>
      <c r="B2949" s="4">
        <v>1.3447562</v>
      </c>
      <c r="C2949" s="4">
        <v>1.3847206999999999</v>
      </c>
      <c r="D2949" s="4">
        <v>-30.967344999999998</v>
      </c>
      <c r="E2949" s="4">
        <f>(((((((((-30.7082979/(10/9))+-10.5)+-0.4)*0.98)*1.11)*0.85)-6.5)+3.2)+-0.3)+0.3</f>
        <v>-38.932899138549296</v>
      </c>
      <c r="F2949" s="4">
        <f>((-1.2293222*(1.3/1.5))*0.6)-0.3</f>
        <v>-0.93924754399999988</v>
      </c>
    </row>
    <row r="2950" spans="1:6" x14ac:dyDescent="0.4">
      <c r="A2950" s="4">
        <v>2579.5789</v>
      </c>
      <c r="B2950" s="4">
        <v>1.3448929000000001</v>
      </c>
      <c r="C2950" s="4">
        <v>1.3842866</v>
      </c>
      <c r="D2950" s="4">
        <v>-30.967447</v>
      </c>
      <c r="E2950" s="4">
        <f>(((((((((-30.6984852/(10/9))+-10.5)+-0.4)*0.98)*1.11)*0.85)-6.5)+3.2)+-0.3)+0.3</f>
        <v>-38.924733333428399</v>
      </c>
      <c r="F2950" s="4">
        <f>((-1.2289929*(1.3/1.5))*0.6)-0.3</f>
        <v>-0.93907630799999997</v>
      </c>
    </row>
    <row r="2951" spans="1:6" x14ac:dyDescent="0.4">
      <c r="A2951" s="4">
        <v>2580.4538250000001</v>
      </c>
      <c r="B2951" s="4">
        <v>1.3446639</v>
      </c>
      <c r="C2951" s="4">
        <v>1.3844851</v>
      </c>
      <c r="D2951" s="4">
        <v>-30.968066</v>
      </c>
      <c r="E2951" s="4">
        <f>(((((((((-30.7149687/(10/9))+-10.5)+-0.4)*0.98)*1.11)*0.85)-6.5)+3.2)+-0.3)+0.3</f>
        <v>-38.938450358172894</v>
      </c>
      <c r="F2951" s="4">
        <f>((-1.2286614*(1.3/1.5))*0.6)-0.3</f>
        <v>-0.938903928</v>
      </c>
    </row>
    <row r="2952" spans="1:6" x14ac:dyDescent="0.4">
      <c r="A2952" s="4">
        <v>2581.3287500000001</v>
      </c>
      <c r="B2952" s="4">
        <v>1.3451109000000001</v>
      </c>
      <c r="C2952" s="4">
        <v>1.3848577</v>
      </c>
      <c r="D2952" s="4">
        <v>-30.96828</v>
      </c>
      <c r="E2952" s="4">
        <f>(((((((((-30.6964638/(10/9))+-10.5)+-0.4)*0.98)*1.11)*0.85)-6.5)+3.2)+-0.3)+0.3</f>
        <v>-38.92305119105459</v>
      </c>
      <c r="F2952" s="4">
        <f>((-1.2282819*(1.3/1.5))*0.6)-0.3</f>
        <v>-0.93870658800000006</v>
      </c>
    </row>
    <row r="2953" spans="1:6" x14ac:dyDescent="0.4">
      <c r="A2953" s="4">
        <v>2582.2036749999997</v>
      </c>
      <c r="B2953" s="4">
        <v>1.3453392</v>
      </c>
      <c r="C2953" s="4">
        <v>1.3850093000000001</v>
      </c>
      <c r="D2953" s="4">
        <v>-30.968598999999998</v>
      </c>
      <c r="E2953" s="4">
        <f>(((((((((-30.7191843/(10/9))+-10.5)+-0.4)*0.98)*1.11)*0.85)-6.5)+3.2)+-0.3)+0.3</f>
        <v>-38.941958441378098</v>
      </c>
      <c r="F2953" s="4">
        <f>((-1.2279096*(1.3/1.5))*0.6)-0.3</f>
        <v>-0.93851299199999993</v>
      </c>
    </row>
    <row r="2954" spans="1:6" x14ac:dyDescent="0.4">
      <c r="A2954" s="4">
        <v>2583.0786000000003</v>
      </c>
      <c r="B2954" s="4">
        <v>1.3456452000000001</v>
      </c>
      <c r="C2954" s="4">
        <v>1.3851891000000001</v>
      </c>
      <c r="D2954" s="4">
        <v>-30.969072000000001</v>
      </c>
      <c r="E2954" s="4">
        <f>(((((((((-30.6888795/(10/9))+-10.5)+-0.4)*0.98)*1.11)*0.85)-6.5)+3.2)+-0.3)+0.3</f>
        <v>-38.916739786876498</v>
      </c>
      <c r="F2954" s="4">
        <f>((-1.2274833*(1.3/1.5))*0.6)-0.3</f>
        <v>-0.93829131599999993</v>
      </c>
    </row>
    <row r="2955" spans="1:6" x14ac:dyDescent="0.4">
      <c r="A2955" s="4">
        <v>2583.9535249999999</v>
      </c>
      <c r="B2955" s="4">
        <v>1.3456444999999999</v>
      </c>
      <c r="C2955" s="4">
        <v>1.3851534999999999</v>
      </c>
      <c r="D2955" s="4">
        <v>-30.969998999999998</v>
      </c>
      <c r="E2955" s="4">
        <f>(((((((((-30.6894393/(10/9))+-10.5)+-0.4)*0.98)*1.11)*0.85)-6.5)+3.2)+-0.3)+0.3</f>
        <v>-38.9172056339631</v>
      </c>
      <c r="F2955" s="4">
        <f>((-1.2271253*(1.3/1.5))*0.6)-0.3</f>
        <v>-0.938105156</v>
      </c>
    </row>
    <row r="2956" spans="1:6" x14ac:dyDescent="0.4">
      <c r="A2956" s="4">
        <v>2584.82845</v>
      </c>
      <c r="B2956" s="4">
        <v>1.3456948</v>
      </c>
      <c r="C2956" s="4">
        <v>1.3855507</v>
      </c>
      <c r="D2956" s="4">
        <v>-30.970658</v>
      </c>
      <c r="E2956" s="4">
        <f>(((((((((-30.6746415/(10/9))+-10.5)+-0.4)*0.98)*1.11)*0.85)-6.5)+3.2)+-0.3)+0.3</f>
        <v>-38.904891393130498</v>
      </c>
      <c r="F2956" s="4">
        <f>((-1.2267638*(1.3/1.5))*0.6)-0.3</f>
        <v>-0.93791717600000002</v>
      </c>
    </row>
    <row r="2957" spans="1:6" x14ac:dyDescent="0.4">
      <c r="A2957" s="4">
        <v>2585.7033750000001</v>
      </c>
      <c r="B2957" s="4">
        <v>1.3457522</v>
      </c>
      <c r="C2957" s="4">
        <v>1.3854861000000001</v>
      </c>
      <c r="D2957" s="4">
        <v>-30.972004999999999</v>
      </c>
      <c r="E2957" s="4">
        <f>(((((((((-30.7072953/(10/9))+-10.5)+-0.4)*0.98)*1.11)*0.85)-6.5)+3.2)+-0.3)+0.3</f>
        <v>-38.932064807915097</v>
      </c>
      <c r="F2957" s="4">
        <f>((-1.226341*(1.3/1.5))*0.6)-0.3</f>
        <v>-0.93769731999999983</v>
      </c>
    </row>
    <row r="2958" spans="1:6" x14ac:dyDescent="0.4">
      <c r="A2958" s="4">
        <v>2586.5782999999997</v>
      </c>
      <c r="B2958" s="4">
        <v>1.3462657</v>
      </c>
      <c r="C2958" s="4">
        <v>1.3857394000000001</v>
      </c>
      <c r="D2958" s="4">
        <v>-30.972923999999999</v>
      </c>
      <c r="E2958" s="4">
        <f>(((((((((-30.7080846/(10/9))+-10.5)+-0.4)*0.98)*1.11)*0.85)-6.5)+3.2)+-0.3)+0.3</f>
        <v>-38.9327216373282</v>
      </c>
      <c r="F2958" s="4">
        <f>((-1.2259381*(1.3/1.5))*0.6)-0.3</f>
        <v>-0.93748781200000009</v>
      </c>
    </row>
    <row r="2959" spans="1:6" x14ac:dyDescent="0.4">
      <c r="A2959" s="4">
        <v>2587.4532250000002</v>
      </c>
      <c r="B2959" s="4">
        <v>1.3460517000000001</v>
      </c>
      <c r="C2959" s="4">
        <v>1.3857858000000001</v>
      </c>
      <c r="D2959" s="4">
        <v>-30.973469999999999</v>
      </c>
      <c r="E2959" s="4">
        <f>(((((((((-30.6936891/(10/9))+-10.5)+-0.4)*0.98)*1.11)*0.85)-6.5)+3.2)+-0.3)+0.3</f>
        <v>-38.920742177279699</v>
      </c>
      <c r="F2959" s="4">
        <f>((-1.2255436*(1.3/1.5))*0.6)-0.3</f>
        <v>-0.93728267199999982</v>
      </c>
    </row>
    <row r="2960" spans="1:6" x14ac:dyDescent="0.4">
      <c r="A2960" s="4">
        <v>2588.3281499999998</v>
      </c>
      <c r="B2960" s="4">
        <v>1.3463315</v>
      </c>
      <c r="C2960" s="4">
        <v>1.3859802000000001</v>
      </c>
      <c r="D2960" s="4">
        <v>-30.974844999999998</v>
      </c>
      <c r="E2960" s="4">
        <f>(((((((((-30.6561438/(10/9))+-10.5)+-0.4)*0.98)*1.11)*0.85)-6.5)+3.2)+-0.3)+0.3</f>
        <v>-38.889498217614594</v>
      </c>
      <c r="F2960" s="4">
        <f>((-1.2250996*(1.3/1.5))*0.6)-0.3</f>
        <v>-0.93705179200000011</v>
      </c>
    </row>
    <row r="2961" spans="1:6" x14ac:dyDescent="0.4">
      <c r="A2961" s="4">
        <v>2589.2030750000004</v>
      </c>
      <c r="B2961" s="4">
        <v>1.346603</v>
      </c>
      <c r="C2961" s="4">
        <v>1.3861635999999999</v>
      </c>
      <c r="D2961" s="4">
        <v>-30.975901999999998</v>
      </c>
      <c r="E2961" s="4">
        <f>(((((((((-30.688182/(10/9))+-10.5)+-0.4)*0.98)*1.11)*0.85)-6.5)+3.2)+-0.3)+0.3</f>
        <v>-38.916159350394004</v>
      </c>
      <c r="F2961" s="4">
        <f>((-1.2246996*(1.3/1.5))*0.6)-0.3</f>
        <v>-0.93684379200000012</v>
      </c>
    </row>
    <row r="2962" spans="1:6" x14ac:dyDescent="0.4">
      <c r="A2962" s="4">
        <v>2590.078</v>
      </c>
      <c r="B2962" s="4">
        <v>1.3465666000000001</v>
      </c>
      <c r="C2962" s="4">
        <v>1.3860691000000001</v>
      </c>
      <c r="D2962" s="4">
        <v>-30.977015999999999</v>
      </c>
      <c r="E2962" s="4">
        <f>(((((((((-30.706155/(10/9))+-10.5)+-0.4)*0.98)*1.11)*0.85)-6.5)+3.2)+-0.3)+0.3</f>
        <v>-38.931115887884985</v>
      </c>
      <c r="F2962" s="4">
        <f>((-1.224364*(1.3/1.5))*0.6)-0.3</f>
        <v>-0.93666928000000005</v>
      </c>
    </row>
    <row r="2963" spans="1:6" x14ac:dyDescent="0.4">
      <c r="A2963" s="4">
        <v>2590.9529249999996</v>
      </c>
      <c r="B2963" s="4">
        <v>1.3466895999999999</v>
      </c>
      <c r="C2963" s="4">
        <v>1.3863198000000001</v>
      </c>
      <c r="D2963" s="4">
        <v>-30.978261</v>
      </c>
      <c r="E2963" s="4">
        <f>(((((((((-30.6769761/(10/9))+-10.5)+-0.4)*0.98)*1.11)*0.85)-6.5)+3.2)+-0.3)+0.3</f>
        <v>-38.906834170208697</v>
      </c>
      <c r="F2963" s="4">
        <f>((-1.2240018*(1.3/1.5))*0.6)-0.3</f>
        <v>-0.93648093599999993</v>
      </c>
    </row>
    <row r="2964" spans="1:6" x14ac:dyDescent="0.4">
      <c r="A2964" s="4">
        <v>2591.8278500000001</v>
      </c>
      <c r="B2964" s="4">
        <v>1.3468742</v>
      </c>
      <c r="C2964" s="4">
        <v>1.3866347999999999</v>
      </c>
      <c r="D2964" s="4">
        <v>-30.979274</v>
      </c>
      <c r="E2964" s="4">
        <f>(((((((((-30.7097154/(10/9))+-10.5)+-0.4)*0.98)*1.11)*0.85)-6.5)+3.2)+-0.3)+0.3</f>
        <v>-38.934078735271797</v>
      </c>
      <c r="F2964" s="4">
        <f>((-1.2236691*(1.3/1.5))*0.6)-0.3</f>
        <v>-0.93630793200000006</v>
      </c>
    </row>
    <row r="2965" spans="1:6" x14ac:dyDescent="0.4">
      <c r="A2965" s="4">
        <v>2592.7027749999997</v>
      </c>
      <c r="B2965" s="4">
        <v>1.3471299000000001</v>
      </c>
      <c r="C2965" s="4">
        <v>1.3866818999999999</v>
      </c>
      <c r="D2965" s="4">
        <v>-30.980602999999999</v>
      </c>
      <c r="E2965" s="4">
        <f>(((((((((-30.6759537/(10/9))+-10.5)+-0.4)*0.98)*1.11)*0.85)-6.5)+3.2)+-0.3)+0.3</f>
        <v>-38.905983362667897</v>
      </c>
      <c r="F2965" s="4">
        <f>((-1.2234368*(1.3/1.5))*0.6)-0.3</f>
        <v>-0.93618713600000003</v>
      </c>
    </row>
    <row r="2966" spans="1:6" x14ac:dyDescent="0.4">
      <c r="A2966" s="4">
        <v>2593.5777000000003</v>
      </c>
      <c r="B2966" s="4">
        <v>1.3471934000000001</v>
      </c>
      <c r="C2966" s="4">
        <v>1.3867860999999999</v>
      </c>
      <c r="D2966" s="4">
        <v>-30.981705999999999</v>
      </c>
      <c r="E2966" s="4">
        <f>(((((((((-30.6671571/(10/9))+-10.5)+-0.4)*0.98)*1.11)*0.85)-6.5)+3.2)+-0.3)+0.3</f>
        <v>-38.8986631224357</v>
      </c>
      <c r="F2966" s="4">
        <f>((-1.2232412*(1.3/1.5))*0.6)-0.3</f>
        <v>-0.93608542399999983</v>
      </c>
    </row>
    <row r="2967" spans="1:6" x14ac:dyDescent="0.4">
      <c r="A2967" s="4">
        <v>2594.4526249999999</v>
      </c>
      <c r="B2967" s="4">
        <v>1.3472799</v>
      </c>
      <c r="C2967" s="4">
        <v>1.3868845999999999</v>
      </c>
      <c r="D2967" s="4">
        <v>-30.982865999999998</v>
      </c>
      <c r="E2967" s="4">
        <f>(((((((((-30.6763857/(10/9))+-10.5)+-0.4)*0.98)*1.11)*0.85)-6.5)+3.2)+-0.3)+0.3</f>
        <v>-38.906342858811897</v>
      </c>
      <c r="F2967" s="4">
        <f>((-1.22306*(1.3/1.5))*0.6)-0.3</f>
        <v>-0.93599119999999991</v>
      </c>
    </row>
    <row r="2968" spans="1:6" x14ac:dyDescent="0.4">
      <c r="A2968" s="4">
        <v>2595.32755</v>
      </c>
      <c r="B2968" s="4">
        <v>1.3474927999999999</v>
      </c>
      <c r="C2968" s="4">
        <v>1.3866742999999999</v>
      </c>
      <c r="D2968" s="4">
        <v>-30.984249999999999</v>
      </c>
      <c r="E2968" s="4">
        <f>(((((((((-30.6778212/(10/9))+-10.5)+-0.4)*0.98)*1.11)*0.85)-6.5)+3.2)+-0.3)+0.3</f>
        <v>-38.907537434540394</v>
      </c>
      <c r="F2968" s="4">
        <f>((-1.2228887*(1.3/1.5))*0.6)-0.3</f>
        <v>-0.93590212399999984</v>
      </c>
    </row>
    <row r="2969" spans="1:6" x14ac:dyDescent="0.4">
      <c r="A2969" s="4">
        <v>2596.202475</v>
      </c>
      <c r="B2969" s="4">
        <v>1.3476505000000001</v>
      </c>
      <c r="C2969" s="4">
        <v>1.3868674000000001</v>
      </c>
      <c r="D2969" s="4">
        <v>-30.985471</v>
      </c>
      <c r="E2969" s="4">
        <f>(((((((((-30.6872793/(10/9))+-10.5)+-0.4)*0.98)*1.11)*0.85)-6.5)+3.2)+-0.3)+0.3</f>
        <v>-38.915408153243092</v>
      </c>
      <c r="F2969" s="4">
        <f>((-1.2227517*(1.3/1.5))*0.6)-0.3</f>
        <v>-0.93583088400000003</v>
      </c>
    </row>
    <row r="2970" spans="1:6" x14ac:dyDescent="0.4">
      <c r="A2970" s="4">
        <v>2597.0774000000001</v>
      </c>
      <c r="B2970" s="4">
        <v>1.3479117</v>
      </c>
      <c r="C2970" s="4">
        <v>1.3869951</v>
      </c>
      <c r="D2970" s="4">
        <v>-30.986577</v>
      </c>
      <c r="E2970" s="4">
        <f>(((((((((-30.6504684/(10/9))+-10.5)+-0.4)*0.98)*1.11)*0.85)-6.5)+3.2)+-0.3)+0.3</f>
        <v>-38.884775337022795</v>
      </c>
      <c r="F2970" s="4">
        <f>((-1.2226129*(1.3/1.5))*0.6)-0.3</f>
        <v>-0.93575870800000005</v>
      </c>
    </row>
    <row r="2971" spans="1:6" x14ac:dyDescent="0.4">
      <c r="A2971" s="4">
        <v>2597.9523250000002</v>
      </c>
      <c r="B2971" s="4">
        <v>1.3479969999999999</v>
      </c>
      <c r="C2971" s="4">
        <v>1.3873602</v>
      </c>
      <c r="D2971" s="4">
        <v>-30.987859</v>
      </c>
      <c r="E2971" s="4">
        <f>(((((((((-30.6213165/(10/9))+-10.5)+-0.4)*0.98)*1.11)*0.85)-6.5)+3.2)+-0.3)+0.3</f>
        <v>-38.860516087855487</v>
      </c>
      <c r="F2971" s="4">
        <f>((-1.2225155*(1.3/1.5))*0.6)-0.3</f>
        <v>-0.93570806000000006</v>
      </c>
    </row>
    <row r="2972" spans="1:6" x14ac:dyDescent="0.4">
      <c r="A2972" s="4">
        <v>2598.8272499999998</v>
      </c>
      <c r="B2972" s="4">
        <v>1.3481641</v>
      </c>
      <c r="C2972" s="4">
        <v>1.3875229</v>
      </c>
      <c r="D2972" s="4">
        <v>-30.989086999999998</v>
      </c>
      <c r="E2972" s="4">
        <f>(((((((((-30.6603801/(10/9))+-10.5)+-0.4)*0.98)*1.11)*0.85)-6.5)+3.2)+-0.3)+0.3</f>
        <v>-38.893023526676693</v>
      </c>
      <c r="F2972" s="4">
        <f>((-1.222527*(1.3/1.5))*0.6)-0.3</f>
        <v>-0.93571403999999991</v>
      </c>
    </row>
    <row r="2973" spans="1:6" x14ac:dyDescent="0.4">
      <c r="A2973" s="4">
        <v>2599.7021749999999</v>
      </c>
      <c r="B2973" s="4">
        <v>1.3483438000000001</v>
      </c>
      <c r="C2973" s="4">
        <v>1.3874857</v>
      </c>
      <c r="D2973" s="4">
        <v>-30.990507999999998</v>
      </c>
      <c r="E2973" s="4">
        <f>(((((((((-30.6366084/(10/9))+-10.5)+-0.4)*0.98)*1.11)*0.85)-6.5)+3.2)+-0.3)+0.3</f>
        <v>-38.873241502402799</v>
      </c>
      <c r="F2973" s="4">
        <f>((-1.2226253*(1.3/1.5))*0.6)-0.3</f>
        <v>-0.93576515599999999</v>
      </c>
    </row>
    <row r="2974" spans="1:6" x14ac:dyDescent="0.4">
      <c r="A2974" s="4">
        <v>2600.5771</v>
      </c>
      <c r="B2974" s="4">
        <v>1.3482113</v>
      </c>
      <c r="C2974" s="4">
        <v>1.3874439000000001</v>
      </c>
      <c r="D2974" s="4">
        <v>-30.992023</v>
      </c>
      <c r="E2974" s="4">
        <f>(((((((((-30.6663201/(10/9))+-10.5)+-0.4)*0.98)*1.11)*0.85)-6.5)+3.2)+-0.3)+0.3</f>
        <v>-38.897966598656694</v>
      </c>
      <c r="F2974" s="4">
        <f>((-1.2228092*(1.3/1.5))*0.6)-0.3</f>
        <v>-0.93586078399999995</v>
      </c>
    </row>
    <row r="2975" spans="1:6" x14ac:dyDescent="0.4">
      <c r="A2975" s="4">
        <v>2601.452025</v>
      </c>
      <c r="B2975" s="4">
        <v>1.3482624000000001</v>
      </c>
      <c r="C2975" s="4">
        <v>1.3874641999999999</v>
      </c>
      <c r="D2975" s="4">
        <v>-30.993261</v>
      </c>
      <c r="E2975" s="4">
        <f>(((((((((-30.635712/(10/9))+-10.5)+-0.4)*0.98)*1.11)*0.85)-6.5)+3.2)+-0.3)+0.3</f>
        <v>-38.872495547903995</v>
      </c>
      <c r="F2975" s="4">
        <f>((-1.2230209*(1.3/1.5))*0.6)-0.3</f>
        <v>-0.93597086800000007</v>
      </c>
    </row>
    <row r="2976" spans="1:6" x14ac:dyDescent="0.4">
      <c r="A2976" s="4">
        <v>2602.3269500000001</v>
      </c>
      <c r="B2976" s="4">
        <v>1.3484229000000001</v>
      </c>
      <c r="C2976" s="4">
        <v>1.3874617</v>
      </c>
      <c r="D2976" s="4">
        <v>-30.994519</v>
      </c>
      <c r="E2976" s="4">
        <f>(((((((((-30.6488304/(10/9))+-10.5)+-0.4)*0.98)*1.11)*0.85)-6.5)+3.2)+-0.3)+0.3</f>
        <v>-38.883412247476791</v>
      </c>
      <c r="F2976" s="4">
        <f>((-1.2233068*(1.3/1.5))*0.6)-0.3</f>
        <v>-0.93611953599999986</v>
      </c>
    </row>
    <row r="2977" spans="1:6" x14ac:dyDescent="0.4">
      <c r="A2977" s="4">
        <v>2603.2018750000002</v>
      </c>
      <c r="B2977" s="4">
        <v>1.3489112999999999</v>
      </c>
      <c r="C2977" s="4">
        <v>1.3879128999999999</v>
      </c>
      <c r="D2977" s="4">
        <v>-30.995533999999999</v>
      </c>
      <c r="E2977" s="4">
        <f>(((((((((-30.6395712/(10/9))+-10.5)+-0.4)*0.98)*1.11)*0.85)-6.5)+3.2)+-0.3)+0.3</f>
        <v>-38.875707046790389</v>
      </c>
      <c r="F2977" s="4">
        <f>((-1.2236978*(1.3/1.5))*0.6)-0.3</f>
        <v>-0.93632285600000009</v>
      </c>
    </row>
    <row r="2978" spans="1:6" x14ac:dyDescent="0.4">
      <c r="A2978" s="4">
        <v>2604.0767999999998</v>
      </c>
      <c r="B2978" s="4">
        <v>1.3490789999999999</v>
      </c>
      <c r="C2978" s="4">
        <v>1.3883572</v>
      </c>
      <c r="D2978" s="4">
        <v>-30.996782</v>
      </c>
      <c r="E2978" s="4">
        <f>(((((((((-30.6381366/(10/9))+-10.5)+-0.4)*0.98)*1.11)*0.85)-6.5)+3.2)+-0.3)+0.3</f>
        <v>-38.874513220012197</v>
      </c>
      <c r="F2978" s="4">
        <f>((-1.2241771*(1.3/1.5))*0.6)-0.3</f>
        <v>-0.9365720919999998</v>
      </c>
    </row>
    <row r="2979" spans="1:6" x14ac:dyDescent="0.4">
      <c r="A2979" s="4">
        <v>2604.9517249999999</v>
      </c>
      <c r="B2979" s="4">
        <v>1.3490097999999999</v>
      </c>
      <c r="C2979" s="4">
        <v>1.3880418999999999</v>
      </c>
      <c r="D2979" s="4">
        <v>-30.998176000000001</v>
      </c>
      <c r="E2979" s="4">
        <f>(((((((((-30.647214/(10/9))+-10.5)+-0.4)*0.98)*1.11)*0.85)-6.5)+3.2)+-0.3)+0.3</f>
        <v>-38.882067132738001</v>
      </c>
      <c r="F2979" s="4">
        <f>((-1.2246642*(1.3/1.5))*0.6)-0.3</f>
        <v>-0.93682538400000004</v>
      </c>
    </row>
    <row r="2980" spans="1:6" x14ac:dyDescent="0.4">
      <c r="A2980" s="4">
        <v>2605.82665</v>
      </c>
      <c r="B2980" s="4">
        <v>1.3489856</v>
      </c>
      <c r="C2980" s="4">
        <v>1.3881123</v>
      </c>
      <c r="D2980" s="4">
        <v>-30.999084</v>
      </c>
      <c r="E2980" s="4">
        <f>(((((((((-30.6263916/(10/9))+-10.5)+-0.4)*0.98)*1.11)*0.85)-6.5)+3.2)+-0.3)+0.3</f>
        <v>-38.864739418597203</v>
      </c>
      <c r="F2980" s="4">
        <f>((-1.2251989*(1.3/1.5))*0.6)-0.3</f>
        <v>-0.93710342799999991</v>
      </c>
    </row>
    <row r="2981" spans="1:6" x14ac:dyDescent="0.4">
      <c r="A2981" s="4">
        <v>2606.701575</v>
      </c>
      <c r="B2981" s="4">
        <v>1.3494090999999999</v>
      </c>
      <c r="C2981" s="4">
        <v>1.3883702</v>
      </c>
      <c r="D2981" s="4">
        <v>-30.999846999999999</v>
      </c>
      <c r="E2981" s="4">
        <f>(((((((((-30.6217566/(10/9))+-10.5)+-0.4)*0.98)*1.11)*0.85)-6.5)+3.2)+-0.3)+0.3</f>
        <v>-38.8608823245522</v>
      </c>
      <c r="F2981" s="4">
        <f>((-1.2258507*(1.3/1.5))*0.6)-0.3</f>
        <v>-0.93744236400000003</v>
      </c>
    </row>
    <row r="2982" spans="1:6" x14ac:dyDescent="0.4">
      <c r="A2982" s="4">
        <v>2607.5765000000001</v>
      </c>
      <c r="B2982" s="4">
        <v>1.3496475999999999</v>
      </c>
      <c r="C2982" s="4">
        <v>1.3884065000000001</v>
      </c>
      <c r="D2982" s="4">
        <v>-31.000326999999999</v>
      </c>
      <c r="E2982" s="4">
        <f>(((((((((-30.6049644/(10/9))+-10.5)+-0.4)*0.98)*1.11)*0.85)-6.5)+3.2)+-0.3)+0.3</f>
        <v>-38.846908409854791</v>
      </c>
      <c r="F2982" s="4">
        <f>((-1.2265432*(1.3/1.5))*0.6)-0.3</f>
        <v>-0.937802464</v>
      </c>
    </row>
    <row r="2983" spans="1:6" x14ac:dyDescent="0.4">
      <c r="A2983" s="4">
        <v>2608.4514249999997</v>
      </c>
      <c r="B2983" s="4">
        <v>1.3497926</v>
      </c>
      <c r="C2983" s="4">
        <v>1.3887700000000001</v>
      </c>
      <c r="D2983" s="4">
        <v>-31.000585000000001</v>
      </c>
      <c r="E2983" s="4">
        <f>(((((((((-30.6003024/(10/9))+-10.5)+-0.4)*0.98)*1.11)*0.85)-6.5)+3.2)+-0.3)+0.3</f>
        <v>-38.843028847300801</v>
      </c>
      <c r="F2983" s="4">
        <f>((-1.2272737*(1.3/1.5))*0.6)-0.3</f>
        <v>-0.93818232400000001</v>
      </c>
    </row>
    <row r="2984" spans="1:6" x14ac:dyDescent="0.4">
      <c r="A2984" s="4">
        <v>2609.3263500000003</v>
      </c>
      <c r="B2984" s="4">
        <v>1.3500791000000001</v>
      </c>
      <c r="C2984" s="4">
        <v>1.3890814</v>
      </c>
      <c r="D2984" s="4">
        <v>-31.001100000000001</v>
      </c>
      <c r="E2984" s="4">
        <f>(((((((((-30.6162459/(10/9))+-10.5)+-0.4)*0.98)*1.11)*0.85)-6.5)+3.2)+-0.3)+0.3</f>
        <v>-38.856296501865295</v>
      </c>
      <c r="F2984" s="4">
        <f>((-1.228098*(1.3/1.5))*0.6)-0.3</f>
        <v>-0.93861095999999988</v>
      </c>
    </row>
    <row r="2985" spans="1:6" x14ac:dyDescent="0.4">
      <c r="A2985" s="4">
        <v>2610.2012749999999</v>
      </c>
      <c r="B2985" s="4">
        <v>1.3500015000000001</v>
      </c>
      <c r="C2985" s="4">
        <v>1.3891708</v>
      </c>
      <c r="D2985" s="4">
        <v>-31.001715999999998</v>
      </c>
      <c r="E2985" s="4">
        <f>(((((((((-30.5894907/(10/9))+-10.5)+-0.4)*0.98)*1.11)*0.85)-6.5)+3.2)+-0.3)+0.3</f>
        <v>-38.834031707346895</v>
      </c>
      <c r="F2985" s="4">
        <f>((-1.2289766*(1.3/1.5))*0.6)-0.3</f>
        <v>-0.93906783199999988</v>
      </c>
    </row>
    <row r="2986" spans="1:6" x14ac:dyDescent="0.4">
      <c r="A2986" s="4">
        <v>2611.0762</v>
      </c>
      <c r="B2986" s="4">
        <v>1.3500466</v>
      </c>
      <c r="C2986" s="4">
        <v>1.3892556</v>
      </c>
      <c r="D2986" s="4">
        <v>-31.002036</v>
      </c>
      <c r="E2986" s="4">
        <f>(((((((((-30.5793972/(10/9))+-10.5)+-0.4)*0.98)*1.11)*0.85)-6.5)+3.2)+-0.3)+0.3</f>
        <v>-38.825632229732392</v>
      </c>
      <c r="F2986" s="4">
        <f>((-1.2298709*(1.3/1.5))*0.6)-0.3</f>
        <v>-0.93953286800000013</v>
      </c>
    </row>
    <row r="2987" spans="1:6" x14ac:dyDescent="0.4">
      <c r="A2987" s="4">
        <v>2611.951125</v>
      </c>
      <c r="B2987" s="4">
        <v>1.3500673000000001</v>
      </c>
      <c r="C2987" s="4">
        <v>1.3892411</v>
      </c>
      <c r="D2987" s="4">
        <v>-31.001951999999999</v>
      </c>
      <c r="E2987" s="4">
        <f>(((((((((-30.6097398/(10/9))+-10.5)+-0.4)*0.98)*1.11)*0.85)-6.5)+3.2)+-0.3)+0.3</f>
        <v>-38.850882340146597</v>
      </c>
      <c r="F2987" s="4">
        <f>((-1.2308694*(1.3/1.5))*0.6)-0.3</f>
        <v>-0.94005208800000006</v>
      </c>
    </row>
    <row r="2988" spans="1:6" x14ac:dyDescent="0.4">
      <c r="A2988" s="4">
        <v>2612.8260499999997</v>
      </c>
      <c r="B2988" s="4">
        <v>1.3504426</v>
      </c>
      <c r="C2988" s="4">
        <v>1.3894546000000001</v>
      </c>
      <c r="D2988" s="4">
        <v>-31.001918</v>
      </c>
      <c r="E2988" s="4">
        <f>(((((((((-30.5985168/(10/9))+-10.5)+-0.4)*0.98)*1.11)*0.85)-6.5)+3.2)+-0.3)+0.3</f>
        <v>-38.841542929905593</v>
      </c>
      <c r="F2988" s="4">
        <f>((-1.2319442*(1.3/1.5))*0.6)-0.3</f>
        <v>-0.94061098399999987</v>
      </c>
    </row>
    <row r="2989" spans="1:6" x14ac:dyDescent="0.4">
      <c r="A2989" s="4">
        <v>2613.7009750000002</v>
      </c>
      <c r="B2989" s="4">
        <v>1.3507948000000001</v>
      </c>
      <c r="C2989" s="4">
        <v>1.3897548</v>
      </c>
      <c r="D2989" s="4">
        <v>-31.001951999999999</v>
      </c>
      <c r="E2989" s="4">
        <f>(((((((((-30.5903592/(10/9))+-10.5)+-0.4)*0.98)*1.11)*0.85)-6.5)+3.2)+-0.3)+0.3</f>
        <v>-38.834754444386391</v>
      </c>
      <c r="F2989" s="4">
        <f>((-1.2329938*(1.3/1.5))*0.6)-0.3</f>
        <v>-0.94115677600000014</v>
      </c>
    </row>
    <row r="2990" spans="1:6" x14ac:dyDescent="0.4">
      <c r="A2990" s="4">
        <v>2614.5758999999998</v>
      </c>
      <c r="B2990" s="4">
        <v>1.3507369</v>
      </c>
      <c r="C2990" s="4">
        <v>1.3898864</v>
      </c>
      <c r="D2990" s="4">
        <v>-31.002196999999999</v>
      </c>
      <c r="E2990" s="4">
        <f>(((((((((-30.6219897/(10/9))+-10.5)+-0.4)*0.98)*1.11)*0.85)-6.5)+3.2)+-0.3)+0.3</f>
        <v>-38.861076302679898</v>
      </c>
      <c r="F2990" s="4">
        <f>((-1.2340932*(1.3/1.5))*0.6)-0.3</f>
        <v>-0.94172846399999988</v>
      </c>
    </row>
    <row r="2991" spans="1:6" x14ac:dyDescent="0.4">
      <c r="A2991" s="4">
        <v>2615.4508250000003</v>
      </c>
      <c r="B2991" s="4">
        <v>1.3507260999999999</v>
      </c>
      <c r="C2991" s="4">
        <v>1.3898892</v>
      </c>
      <c r="D2991" s="4">
        <v>-31.002216999999998</v>
      </c>
      <c r="E2991" s="4">
        <f>(((((((((-30.6113301/(10/9))+-10.5)+-0.4)*0.98)*1.11)*0.85)-6.5)+3.2)+-0.3)+0.3</f>
        <v>-38.852205735326692</v>
      </c>
      <c r="F2991" s="4">
        <f>((-1.2352961*(1.3/1.5))*0.6)-0.3</f>
        <v>-0.94235397200000004</v>
      </c>
    </row>
    <row r="2992" spans="1:6" x14ac:dyDescent="0.4">
      <c r="A2992" s="4">
        <v>2616.32575</v>
      </c>
      <c r="B2992" s="4">
        <v>1.3509262</v>
      </c>
      <c r="C2992" s="4">
        <v>1.3905075</v>
      </c>
      <c r="D2992" s="4">
        <v>-31.001667999999999</v>
      </c>
      <c r="E2992" s="4">
        <f>(((((((((-30.5740143/(10/9))+-10.5)+-0.4)*0.98)*1.11)*0.85)-6.5)+3.2)+-0.3)+0.3</f>
        <v>-38.821152757988102</v>
      </c>
      <c r="F2992" s="4">
        <f>((-1.2365464*(1.3/1.5))*0.6)-0.3</f>
        <v>-0.94300412799999989</v>
      </c>
    </row>
    <row r="2993" spans="1:6" x14ac:dyDescent="0.4">
      <c r="A2993" s="4">
        <v>2617.2006749999996</v>
      </c>
      <c r="B2993" s="4">
        <v>1.3510203000000001</v>
      </c>
      <c r="C2993" s="4">
        <v>1.3905083</v>
      </c>
      <c r="D2993" s="4">
        <v>-31.000968</v>
      </c>
      <c r="E2993" s="4">
        <f>(((((((((-30.582549/(10/9))+-10.5)+-0.4)*0.98)*1.11)*0.85)-6.5)+3.2)+-0.3)+0.3</f>
        <v>-38.828255053682994</v>
      </c>
      <c r="F2993" s="4">
        <f>((-1.2378168*(1.3/1.5))*0.6)-0.3</f>
        <v>-0.94366473599999989</v>
      </c>
    </row>
    <row r="2994" spans="1:6" x14ac:dyDescent="0.4">
      <c r="A2994" s="4">
        <v>2618.0756000000001</v>
      </c>
      <c r="B2994" s="4">
        <v>1.3511635</v>
      </c>
      <c r="C2994" s="4">
        <v>1.390555</v>
      </c>
      <c r="D2994" s="4">
        <v>-31.000018000000001</v>
      </c>
      <c r="E2994" s="4">
        <f>(((((((((-30.5888931/(10/9))+-10.5)+-0.4)*0.98)*1.11)*0.85)-6.5)+3.2)+-0.3)+0.3</f>
        <v>-38.833534404347695</v>
      </c>
      <c r="F2994" s="4">
        <f>((-1.2390981*(1.3/1.5))*0.6)-0.3</f>
        <v>-0.94433101199999991</v>
      </c>
    </row>
    <row r="2995" spans="1:6" x14ac:dyDescent="0.4">
      <c r="A2995" s="4">
        <v>2618.9505249999997</v>
      </c>
      <c r="B2995" s="4">
        <v>1.350973</v>
      </c>
      <c r="C2995" s="4">
        <v>1.3905369999999999</v>
      </c>
      <c r="D2995" s="4">
        <v>-30.999351000000001</v>
      </c>
      <c r="E2995" s="4">
        <f>(((((((((-30.5633709/(10/9))+-10.5)+-0.4)*0.98)*1.11)*0.85)-6.5)+3.2)+-0.3)+0.3</f>
        <v>-38.812295671740294</v>
      </c>
      <c r="F2995" s="4">
        <f>((-1.2404612*(1.3/1.5))*0.6)-0.3</f>
        <v>-0.94503982399999997</v>
      </c>
    </row>
    <row r="2996" spans="1:6" x14ac:dyDescent="0.4">
      <c r="A2996" s="4">
        <v>2619.8254500000003</v>
      </c>
      <c r="B2996" s="4">
        <v>1.3514501000000001</v>
      </c>
      <c r="C2996" s="4">
        <v>1.3909913</v>
      </c>
      <c r="D2996" s="4">
        <v>-30.998687</v>
      </c>
      <c r="E2996" s="4">
        <f>(((((((((-30.5550864/(10/9))+-10.5)+-0.4)*0.98)*1.11)*0.85)-6.5)+3.2)+-0.3)+0.3</f>
        <v>-38.80540158422879</v>
      </c>
      <c r="F2996" s="4">
        <f>((-1.2418815*(1.3/1.5))*0.6)-0.3</f>
        <v>-0.94577837999999992</v>
      </c>
    </row>
    <row r="2997" spans="1:6" x14ac:dyDescent="0.4">
      <c r="A2997" s="4">
        <v>2620.7003749999999</v>
      </c>
      <c r="B2997" s="4">
        <v>1.3517326999999999</v>
      </c>
      <c r="C2997" s="4">
        <v>1.3908856999999999</v>
      </c>
      <c r="D2997" s="4">
        <v>-30.997288999999999</v>
      </c>
      <c r="E2997" s="4">
        <f>(((((((((-30.593106/(10/9))+-10.5)+-0.4)*0.98)*1.11)*0.85)-6.5)+3.2)+-0.3)+0.3</f>
        <v>-38.837040240702002</v>
      </c>
      <c r="F2997" s="4">
        <f>((-1.2433386*(1.3/1.5))*0.6)-0.3</f>
        <v>-0.94653607200000001</v>
      </c>
    </row>
    <row r="2998" spans="1:6" x14ac:dyDescent="0.4">
      <c r="A2998" s="4">
        <v>2621.5753</v>
      </c>
      <c r="B2998" s="4">
        <v>1.3515511</v>
      </c>
      <c r="C2998" s="4">
        <v>1.3913977</v>
      </c>
      <c r="D2998" s="4">
        <v>-30.996358000000001</v>
      </c>
      <c r="E2998" s="4">
        <f>(((((((((-30.5976483/(10/9))+-10.5)+-0.4)*0.98)*1.11)*0.85)-6.5)+3.2)+-0.3)+0.3</f>
        <v>-38.84082019286609</v>
      </c>
      <c r="F2998" s="4">
        <f>((-1.2448058*(1.3/1.5))*0.6)-0.3</f>
        <v>-0.94729901599999988</v>
      </c>
    </row>
    <row r="2999" spans="1:6" x14ac:dyDescent="0.4">
      <c r="A2999" s="4">
        <v>2622.450225</v>
      </c>
      <c r="B2999" s="4">
        <v>1.3519049999999999</v>
      </c>
      <c r="C2999" s="4">
        <v>1.3908693999999999</v>
      </c>
      <c r="D2999" s="4">
        <v>-30.995381999999999</v>
      </c>
      <c r="E2999" s="4">
        <f>(((((((((-30.5694342/(10/9))+-10.5)+-0.4)*0.98)*1.11)*0.85)-6.5)+3.2)+-0.3)+0.3</f>
        <v>-38.817341349911395</v>
      </c>
      <c r="F2999" s="4">
        <f>((-1.2462742*(1.3/1.5))*0.6)-0.3</f>
        <v>-0.94806258399999987</v>
      </c>
    </row>
    <row r="3000" spans="1:6" x14ac:dyDescent="0.4">
      <c r="A3000" s="4">
        <v>2623.3251500000001</v>
      </c>
      <c r="B3000" s="4">
        <v>1.3520684999999999</v>
      </c>
      <c r="C3000" s="4">
        <v>1.3913704</v>
      </c>
      <c r="D3000" s="4">
        <v>-30.994049999999998</v>
      </c>
      <c r="E3000" s="4">
        <f>(((((((((-30.572586/(10/9))+-10.5)+-0.4)*0.98)*1.11)*0.85)-6.5)+3.2)+-0.3)+0.3</f>
        <v>-38.819964173862004</v>
      </c>
      <c r="F3000" s="4">
        <f>((-1.2477505*(1.3/1.5))*0.6)-0.3</f>
        <v>-0.94883025999999981</v>
      </c>
    </row>
    <row r="3001" spans="1:6" x14ac:dyDescent="0.4">
      <c r="A3001" s="4">
        <v>2624.2000750000002</v>
      </c>
      <c r="B3001" s="4">
        <v>1.3521646</v>
      </c>
      <c r="C3001" s="4">
        <v>1.3916525</v>
      </c>
      <c r="D3001" s="4">
        <v>-30.992422999999999</v>
      </c>
      <c r="E3001" s="4">
        <f>(((((((((-30.5496585/(10/9))+-10.5)+-0.4)*0.98)*1.11)*0.85)-6.5)+3.2)+-0.3)+0.3</f>
        <v>-38.800884664969495</v>
      </c>
      <c r="F3001" s="4">
        <f>((-1.2491962*(1.3/1.5))*0.6)-0.3</f>
        <v>-0.94958202400000014</v>
      </c>
    </row>
    <row r="3002" spans="1:6" x14ac:dyDescent="0.4">
      <c r="A3002" s="4">
        <v>2625.0749999999998</v>
      </c>
      <c r="B3002" s="4">
        <v>1.3522487000000001</v>
      </c>
      <c r="C3002" s="4">
        <v>1.3917185999999999</v>
      </c>
      <c r="D3002" s="4">
        <v>-30.990461</v>
      </c>
      <c r="E3002" s="4">
        <f>(((((((((-30.5408592/(10/9))+-10.5)+-0.4)*0.98)*1.11)*0.85)-6.5)+3.2)+-0.3)+0.3</f>
        <v>-38.793562177886393</v>
      </c>
      <c r="F3002" s="4">
        <f>((-1.2506189*(1.3/1.5))*0.6)-0.3</f>
        <v>-0.95032182800000009</v>
      </c>
    </row>
    <row r="3003" spans="1:6" x14ac:dyDescent="0.4">
      <c r="A3003" s="4">
        <v>2625.9499249999999</v>
      </c>
      <c r="B3003" s="4">
        <v>1.3525631</v>
      </c>
      <c r="C3003" s="4">
        <v>1.3920461</v>
      </c>
      <c r="D3003" s="4">
        <v>-30.988592999999998</v>
      </c>
      <c r="E3003" s="4">
        <f>(((((((((-30.5767746/(10/9))+-10.5)+-0.4)*0.98)*1.11)*0.85)-6.5)+3.2)+-0.3)+0.3</f>
        <v>-38.8234497885582</v>
      </c>
      <c r="F3003" s="4">
        <f>((-1.2520509*(1.3/1.5))*0.6)-0.3</f>
        <v>-0.95106646799999983</v>
      </c>
    </row>
    <row r="3004" spans="1:6" x14ac:dyDescent="0.4">
      <c r="A3004" s="4">
        <v>2626.82485</v>
      </c>
      <c r="B3004" s="4">
        <v>1.3524944000000001</v>
      </c>
      <c r="C3004" s="4">
        <v>1.3923140000000001</v>
      </c>
      <c r="D3004" s="4">
        <v>-30.986753</v>
      </c>
      <c r="E3004" s="4">
        <f>(((((((((-30.5795862/(10/9))+-10.5)+-0.4)*0.98)*1.11)*0.85)-6.5)+3.2)+-0.3)+0.3</f>
        <v>-38.825789509295397</v>
      </c>
      <c r="F3004" s="4">
        <f>((-1.2534382*(1.3/1.5))*0.6)-0.3</f>
        <v>-0.95178786399999993</v>
      </c>
    </row>
    <row r="3005" spans="1:6" x14ac:dyDescent="0.4">
      <c r="A3005" s="4">
        <v>2627.699775</v>
      </c>
      <c r="B3005" s="4">
        <v>1.3527539</v>
      </c>
      <c r="C3005" s="4">
        <v>1.3921199</v>
      </c>
      <c r="D3005" s="4">
        <v>-30.984909999999999</v>
      </c>
      <c r="E3005" s="4">
        <f>(((((((((-30.5708967/(10/9))+-10.5)+-0.4)*0.98)*1.11)*0.85)-6.5)+3.2)+-0.3)+0.3</f>
        <v>-38.818558394148887</v>
      </c>
      <c r="F3005" s="4">
        <f>((-1.2548261*(1.3/1.5))*0.6)-0.3</f>
        <v>-0.95250957200000008</v>
      </c>
    </row>
    <row r="3006" spans="1:6" x14ac:dyDescent="0.4">
      <c r="A3006" s="4">
        <v>2628.5747000000001</v>
      </c>
      <c r="B3006" s="4">
        <v>1.3529960999999999</v>
      </c>
      <c r="C3006" s="4">
        <v>1.3924593999999999</v>
      </c>
      <c r="D3006" s="4">
        <v>-30.98282</v>
      </c>
      <c r="E3006" s="4">
        <f>(((((((((-30.5680707/(10/9))+-10.5)+-0.4)*0.98)*1.11)*0.85)-6.5)+3.2)+-0.3)+0.3</f>
        <v>-38.816206690206904</v>
      </c>
      <c r="F3006" s="4">
        <f>((-1.2561283*(1.3/1.5))*0.6)-0.3</f>
        <v>-0.95318671600000004</v>
      </c>
    </row>
    <row r="3007" spans="1:6" x14ac:dyDescent="0.4">
      <c r="A3007" s="4">
        <v>2629.4496250000002</v>
      </c>
      <c r="B3007" s="4">
        <v>1.3529823000000001</v>
      </c>
      <c r="C3007" s="4">
        <v>1.3929142999999999</v>
      </c>
      <c r="D3007" s="4">
        <v>-30.980615</v>
      </c>
      <c r="E3007" s="4">
        <f>(((((((((-30.5738595/(10/9))+-10.5)+-0.4)*0.98)*1.11)*0.85)-6.5)+3.2)+-0.3)+0.3</f>
        <v>-38.821023938536499</v>
      </c>
      <c r="F3007" s="4">
        <f>((-1.2574537*(1.3/1.5))*0.6)-0.3</f>
        <v>-0.95387592399999988</v>
      </c>
    </row>
    <row r="3008" spans="1:6" x14ac:dyDescent="0.4">
      <c r="A3008" s="4">
        <v>2630.3245499999998</v>
      </c>
      <c r="B3008" s="4">
        <v>1.3532979000000001</v>
      </c>
      <c r="C3008" s="4">
        <v>1.3928864999999999</v>
      </c>
      <c r="D3008" s="4">
        <v>-30.977988</v>
      </c>
      <c r="E3008" s="4">
        <f>(((((((((-30.561651/(10/9))+-10.5)+-0.4)*0.98)*1.11)*0.85)-6.5)+3.2)+-0.3)+0.3</f>
        <v>-38.810864427716993</v>
      </c>
      <c r="F3008" s="4">
        <f>((-1.2587215*(1.3/1.5))*0.6)-0.3</f>
        <v>-0.95453517999999993</v>
      </c>
    </row>
    <row r="3009" spans="1:6" x14ac:dyDescent="0.4">
      <c r="A3009" s="4">
        <v>2631.1994749999999</v>
      </c>
      <c r="B3009" s="4">
        <v>1.3535440000000001</v>
      </c>
      <c r="C3009" s="4">
        <v>1.3932812999999999</v>
      </c>
      <c r="D3009" s="4">
        <v>-30.976098</v>
      </c>
      <c r="E3009" s="4">
        <f>(((((((((-30.5567721/(10/9))+-10.5)+-0.4)*0.98)*1.11)*0.85)-6.5)+3.2)+-0.3)+0.3</f>
        <v>-38.806804368140703</v>
      </c>
      <c r="F3009" s="4">
        <f>((-1.2599423*(1.3/1.5))*0.6)-0.3</f>
        <v>-0.95516999599999997</v>
      </c>
    </row>
    <row r="3010" spans="1:6" x14ac:dyDescent="0.4">
      <c r="A3010" s="4">
        <v>2632.0744</v>
      </c>
      <c r="B3010" s="4">
        <v>1.3535104</v>
      </c>
      <c r="C3010" s="4">
        <v>1.3934527999999999</v>
      </c>
      <c r="D3010" s="4">
        <v>-30.973831999999998</v>
      </c>
      <c r="E3010" s="4">
        <f>(((((((((-30.5579052/(10/9))+-10.5)+-0.4)*0.98)*1.11)*0.85)-6.5)+3.2)+-0.3)+0.3</f>
        <v>-38.807747296568401</v>
      </c>
      <c r="F3010" s="4">
        <f>((-1.2611843*(1.3/1.5))*0.6)-0.3</f>
        <v>-0.95581583599999997</v>
      </c>
    </row>
    <row r="3011" spans="1:6" x14ac:dyDescent="0.4">
      <c r="A3011" s="4">
        <v>2632.949325</v>
      </c>
      <c r="B3011" s="4">
        <v>1.3540736</v>
      </c>
      <c r="C3011" s="4">
        <v>1.3933637999999999</v>
      </c>
      <c r="D3011" s="4">
        <v>-30.971108999999998</v>
      </c>
      <c r="E3011" s="4">
        <f>(((((((((-30.5587809/(10/9))+-10.5)+-0.4)*0.98)*1.11)*0.85)-6.5)+3.2)+-0.3)+0.3</f>
        <v>-38.808476025210297</v>
      </c>
      <c r="F3011" s="4">
        <f>((-1.2623205*(1.3/1.5))*0.6)-0.3</f>
        <v>-0.95640665999999985</v>
      </c>
    </row>
    <row r="3012" spans="1:6" x14ac:dyDescent="0.4">
      <c r="A3012" s="4">
        <v>2633.8242500000001</v>
      </c>
      <c r="B3012" s="4">
        <v>1.3539216999999999</v>
      </c>
      <c r="C3012" s="4">
        <v>1.3935569999999999</v>
      </c>
      <c r="D3012" s="4">
        <v>-30.968502999999998</v>
      </c>
      <c r="E3012" s="4">
        <f>(((((((((-30.5852166/(10/9))+-10.5)+-0.4)*0.98)*1.11)*0.85)-6.5)+3.2)+-0.3)+0.3</f>
        <v>-38.830474942372192</v>
      </c>
      <c r="F3012" s="4">
        <f>((-1.2633978*(1.3/1.5))*0.6)-0.3</f>
        <v>-0.95696685599999998</v>
      </c>
    </row>
    <row r="3013" spans="1:6" x14ac:dyDescent="0.4">
      <c r="A3013" s="4">
        <v>2634.6991749999997</v>
      </c>
      <c r="B3013" s="4">
        <v>1.3541878000000001</v>
      </c>
      <c r="C3013" s="4">
        <v>1.393734</v>
      </c>
      <c r="D3013" s="4">
        <v>-30.966170999999999</v>
      </c>
      <c r="E3013" s="4">
        <f>(((((((((-30.5821881/(10/9))+-10.5)+-0.4)*0.98)*1.11)*0.85)-6.5)+3.2)+-0.3)+0.3</f>
        <v>-38.827954724612695</v>
      </c>
      <c r="F3013" s="4">
        <f>((-1.2644726*(1.3/1.5))*0.6)-0.3</f>
        <v>-0.95752575200000001</v>
      </c>
    </row>
    <row r="3014" spans="1:6" x14ac:dyDescent="0.4">
      <c r="A3014" s="4">
        <v>2635.5741000000003</v>
      </c>
      <c r="B3014" s="4">
        <v>1.3545225000000001</v>
      </c>
      <c r="C3014" s="4">
        <v>1.3936796</v>
      </c>
      <c r="D3014" s="4">
        <v>-30.963466</v>
      </c>
      <c r="E3014" s="4">
        <f>(((((((((-30.5710164/(10/9))+-10.5)+-0.4)*0.98)*1.11)*0.85)-6.5)+3.2)+-0.3)+0.3</f>
        <v>-38.818658004538804</v>
      </c>
      <c r="F3014" s="4">
        <f>((-1.2654727*(1.3/1.5))*0.6)-0.3</f>
        <v>-0.95804580399999995</v>
      </c>
    </row>
    <row r="3015" spans="1:6" x14ac:dyDescent="0.4">
      <c r="A3015" s="4">
        <v>2636.4490249999999</v>
      </c>
      <c r="B3015" s="4">
        <v>1.3546753</v>
      </c>
      <c r="C3015" s="4">
        <v>1.3943057999999999</v>
      </c>
      <c r="D3015" s="4">
        <v>-30.960577999999998</v>
      </c>
      <c r="E3015" s="4">
        <f>(((((((((-30.5935074/(10/9))+-10.5)+-0.4)*0.98)*1.11)*0.85)-6.5)+3.2)+-0.3)+0.3</f>
        <v>-38.837374272535797</v>
      </c>
      <c r="F3015" s="4">
        <f>((-1.2664431*(1.3/1.5))*0.6)-0.3</f>
        <v>-0.95855041199999991</v>
      </c>
    </row>
    <row r="3016" spans="1:6" x14ac:dyDescent="0.4">
      <c r="A3016" s="4">
        <v>2637.32395</v>
      </c>
      <c r="B3016" s="4">
        <v>1.3548901</v>
      </c>
      <c r="C3016" s="4">
        <v>1.3942819</v>
      </c>
      <c r="D3016" s="4">
        <v>-30.957485999999999</v>
      </c>
      <c r="E3016" s="4">
        <f>(((((((((-30.5628111/(10/9))+-10.5)+-0.4)*0.98)*1.11)*0.85)-6.5)+3.2)+-0.3)+0.3</f>
        <v>-38.811829824653699</v>
      </c>
      <c r="F3016" s="4">
        <f>((-1.2673124*(1.3/1.5))*0.6)-0.3</f>
        <v>-0.95900244800000012</v>
      </c>
    </row>
    <row r="3017" spans="1:6" x14ac:dyDescent="0.4">
      <c r="A3017" s="4">
        <v>2638.198875</v>
      </c>
      <c r="B3017" s="4">
        <v>1.3547473000000001</v>
      </c>
      <c r="C3017" s="4">
        <v>1.394244</v>
      </c>
      <c r="D3017" s="4">
        <v>-30.954332999999998</v>
      </c>
      <c r="E3017" s="4">
        <f>(((((((((-30.5906922/(10/9))+-10.5)+-0.4)*0.98)*1.11)*0.85)-6.5)+3.2)+-0.3)+0.3</f>
        <v>-38.835031555997396</v>
      </c>
      <c r="F3017" s="4">
        <f>((-1.2680422*(1.3/1.5))*0.6)-0.3</f>
        <v>-0.95938194399999999</v>
      </c>
    </row>
    <row r="3018" spans="1:6" x14ac:dyDescent="0.4">
      <c r="A3018" s="4">
        <v>2639.0737999999997</v>
      </c>
      <c r="B3018" s="4">
        <v>1.3549180000000001</v>
      </c>
      <c r="C3018" s="4">
        <v>1.3942574000000001</v>
      </c>
      <c r="D3018" s="4">
        <v>-30.95168</v>
      </c>
      <c r="E3018" s="4">
        <f>(((((((((-30.5709894/(10/9))+-10.5)+-0.4)*0.98)*1.11)*0.85)-6.5)+3.2)+-0.3)+0.3</f>
        <v>-38.818635536029795</v>
      </c>
      <c r="F3018" s="4">
        <f>((-1.2687738*(1.3/1.5))*0.6)-0.3</f>
        <v>-0.95976237600000003</v>
      </c>
    </row>
    <row r="3019" spans="1:6" x14ac:dyDescent="0.4">
      <c r="A3019" s="4">
        <v>2639.9487250000002</v>
      </c>
      <c r="B3019" s="4">
        <v>1.3552500000000001</v>
      </c>
      <c r="C3019" s="4">
        <v>1.3949994999999999</v>
      </c>
      <c r="D3019" s="4">
        <v>-30.948795999999998</v>
      </c>
      <c r="E3019" s="4">
        <f>(((((((((-30.5516907/(10/9))+-10.5)+-0.4)*0.98)*1.11)*0.85)-6.5)+3.2)+-0.3)+0.3</f>
        <v>-38.802575794746893</v>
      </c>
      <c r="F3019" s="4">
        <f>((-1.2694857*(1.3/1.5))*0.6)-0.3</f>
        <v>-0.96013256400000002</v>
      </c>
    </row>
    <row r="3020" spans="1:6" x14ac:dyDescent="0.4">
      <c r="A3020" s="4">
        <v>2640.8236499999998</v>
      </c>
      <c r="B3020" s="4">
        <v>1.3553715</v>
      </c>
      <c r="C3020" s="4">
        <v>1.3947666999999999</v>
      </c>
      <c r="D3020" s="4">
        <v>-30.94613</v>
      </c>
      <c r="E3020" s="4">
        <f>(((((((((-30.58569/(10/9))+-10.5)+-0.4)*0.98)*1.11)*0.85)-6.5)+3.2)+-0.3)+0.3</f>
        <v>-38.830868890229986</v>
      </c>
      <c r="F3020" s="4">
        <f>((-1.2700136*(1.3/1.5))*0.6)-0.3</f>
        <v>-0.96040707199999997</v>
      </c>
    </row>
    <row r="3021" spans="1:6" x14ac:dyDescent="0.4">
      <c r="A3021" s="4">
        <v>2641.6985750000003</v>
      </c>
      <c r="B3021" s="4">
        <v>1.3554373</v>
      </c>
      <c r="C3021" s="4">
        <v>1.3951214999999999</v>
      </c>
      <c r="D3021" s="4">
        <v>-30.943625999999998</v>
      </c>
      <c r="E3021" s="4">
        <f>(((((((((-30.5874306/(10/9))+-10.5)+-0.4)*0.98)*1.11)*0.85)-6.5)+3.2)+-0.3)+0.3</f>
        <v>-38.832317360110196</v>
      </c>
      <c r="F3021" s="4">
        <f>((-1.2704273*(1.3/1.5))*0.6)-0.3</f>
        <v>-0.96062219599999987</v>
      </c>
    </row>
    <row r="3022" spans="1:6" x14ac:dyDescent="0.4">
      <c r="A3022" s="4">
        <v>2642.5735</v>
      </c>
      <c r="B3022" s="4">
        <v>1.3557442</v>
      </c>
      <c r="C3022" s="4">
        <v>1.3948668</v>
      </c>
      <c r="D3022" s="4">
        <v>-30.941002999999998</v>
      </c>
      <c r="E3022" s="4">
        <f>(((((((((-30.5640576/(10/9))+-10.5)+-0.4)*0.98)*1.11)*0.85)-6.5)+3.2)+-0.3)+0.3</f>
        <v>-38.812867120819199</v>
      </c>
      <c r="F3022" s="4">
        <f>((-1.2707317*(1.3/1.5))*0.6)-0.3</f>
        <v>-0.96078048400000005</v>
      </c>
    </row>
    <row r="3023" spans="1:6" x14ac:dyDescent="0.4">
      <c r="A3023" s="4">
        <v>2643.4484249999996</v>
      </c>
      <c r="B3023" s="4">
        <v>1.3559380999999999</v>
      </c>
      <c r="C3023" s="4">
        <v>1.3955093999999999</v>
      </c>
      <c r="D3023" s="4">
        <v>-30.938292999999998</v>
      </c>
      <c r="E3023" s="4">
        <f>(((((((((-30.5971056/(10/9))+-10.5)+-0.4)*0.98)*1.11)*0.85)-6.5)+3.2)+-0.3)+0.3</f>
        <v>-38.840368575835186</v>
      </c>
      <c r="F3023" s="4">
        <f>((-1.2710708*(1.3/1.5))*0.6)-0.3</f>
        <v>-0.96095681599999994</v>
      </c>
    </row>
    <row r="3024" spans="1:6" x14ac:dyDescent="0.4">
      <c r="A3024" s="4">
        <v>2644.3233500000001</v>
      </c>
      <c r="B3024" s="4">
        <v>1.3562232999999999</v>
      </c>
      <c r="C3024" s="4">
        <v>1.3959284999999999</v>
      </c>
      <c r="D3024" s="4">
        <v>-30.935846999999999</v>
      </c>
      <c r="E3024" s="4">
        <f>(((((((((-30.5838261/(10/9))+-10.5)+-0.4)*0.98)*1.11)*0.85)-6.5)+3.2)+-0.3)+0.3</f>
        <v>-38.829317814158692</v>
      </c>
      <c r="F3024" s="4">
        <f>((-1.2712901*(1.3/1.5))*0.6)-0.3</f>
        <v>-0.96107085199999998</v>
      </c>
    </row>
    <row r="3025" spans="1:6" x14ac:dyDescent="0.4">
      <c r="A3025" s="4">
        <v>2645.1982749999997</v>
      </c>
      <c r="B3025" s="4">
        <v>1.3566281</v>
      </c>
      <c r="C3025" s="4">
        <v>1.3958828000000001</v>
      </c>
      <c r="D3025" s="4">
        <v>-30.93317</v>
      </c>
      <c r="E3025" s="4">
        <f>(((((((((-30.6019503/(10/9))+-10.5)+-0.4)*0.98)*1.11)*0.85)-6.5)+3.2)+-0.3)+0.3</f>
        <v>-38.844400175300095</v>
      </c>
      <c r="F3025" s="4">
        <f>((-1.2714003*(1.3/1.5))*0.6)-0.3</f>
        <v>-0.96112815600000001</v>
      </c>
    </row>
    <row r="3026" spans="1:6" x14ac:dyDescent="0.4">
      <c r="A3026" s="4">
        <v>2646.0732000000003</v>
      </c>
      <c r="B3026" s="4">
        <v>1.3565634</v>
      </c>
      <c r="C3026" s="4">
        <v>1.3961694</v>
      </c>
      <c r="D3026" s="4">
        <v>-30.931127</v>
      </c>
      <c r="E3026" s="4">
        <f>(((((((((-30.5514027/(10/9))+-10.5)+-0.4)*0.98)*1.11)*0.85)-6.5)+3.2)+-0.3)+0.3</f>
        <v>-38.8023361306509</v>
      </c>
      <c r="F3026" s="4">
        <f>((-1.2714016*(1.3/1.5))*0.6)-0.3</f>
        <v>-0.96112883199999999</v>
      </c>
    </row>
    <row r="3027" spans="1:6" x14ac:dyDescent="0.4">
      <c r="A3027" s="4">
        <v>2646.9481249999999</v>
      </c>
      <c r="B3027" s="4">
        <v>1.3566096000000001</v>
      </c>
      <c r="C3027" s="4">
        <v>1.3964003</v>
      </c>
      <c r="D3027" s="4">
        <v>-30.928570999999998</v>
      </c>
      <c r="E3027" s="4">
        <f>(((((((((-30.5863731/(10/9))+-10.5)+-0.4)*0.98)*1.11)*0.85)-6.5)+3.2)+-0.3)+0.3</f>
        <v>-38.831437343507694</v>
      </c>
      <c r="F3027" s="4">
        <f>((-1.2712908*(1.3/1.5))*0.6)-0.3</f>
        <v>-0.96107121599999989</v>
      </c>
    </row>
    <row r="3028" spans="1:6" x14ac:dyDescent="0.4">
      <c r="A3028" s="4">
        <v>2647.82305</v>
      </c>
      <c r="B3028" s="4">
        <v>1.3566719</v>
      </c>
      <c r="C3028" s="4">
        <v>1.3962957</v>
      </c>
      <c r="D3028" s="4">
        <v>-30.926676999999998</v>
      </c>
      <c r="E3028" s="4">
        <f>(((((((((-30.6128367/(10/9))+-10.5)+-0.4)*0.98)*1.11)*0.85)-6.5)+3.2)+-0.3)+0.3</f>
        <v>-38.85345947812889</v>
      </c>
      <c r="F3028" s="4">
        <f>((-1.2710071*(1.3/1.5))*0.6)-0.3</f>
        <v>-0.96092369199999994</v>
      </c>
    </row>
    <row r="3029" spans="1:6" x14ac:dyDescent="0.4">
      <c r="A3029" s="4">
        <v>2648.697975</v>
      </c>
      <c r="B3029" s="4">
        <v>1.3567914999999999</v>
      </c>
      <c r="C3029" s="4">
        <v>1.3964143</v>
      </c>
      <c r="D3029" s="4">
        <v>-30.924603999999999</v>
      </c>
      <c r="E3029" s="4">
        <f>(((((((((-30.5958969/(10/9))+-10.5)+-0.4)*0.98)*1.11)*0.85)-6.5)+3.2)+-0.3)+0.3</f>
        <v>-38.839362735582299</v>
      </c>
      <c r="F3029" s="4">
        <f>((-1.2707393*(1.3/1.5))*0.6)-0.3</f>
        <v>-0.96078443599999996</v>
      </c>
    </row>
    <row r="3030" spans="1:6" x14ac:dyDescent="0.4">
      <c r="A3030" s="4">
        <v>2649.5729000000001</v>
      </c>
      <c r="B3030" s="4">
        <v>1.3570253999999999</v>
      </c>
      <c r="C3030" s="4">
        <v>1.3967034</v>
      </c>
      <c r="D3030" s="4">
        <v>-30.922740000000001</v>
      </c>
      <c r="E3030" s="4">
        <f>(((((((((-30.5718993/(10/9))+-10.5)+-0.4)*0.98)*1.11)*0.85)-6.5)+3.2)+-0.3)+0.3</f>
        <v>-38.8193927247831</v>
      </c>
      <c r="F3030" s="4">
        <f>((-1.2704039*(1.3/1.5))*0.6)-0.3</f>
        <v>-0.96061002800000006</v>
      </c>
    </row>
    <row r="3031" spans="1:6" x14ac:dyDescent="0.4">
      <c r="A3031" s="4">
        <v>2650.4478250000002</v>
      </c>
      <c r="B3031" s="4">
        <v>1.3572887</v>
      </c>
      <c r="C3031" s="4">
        <v>1.3968163</v>
      </c>
      <c r="D3031" s="4">
        <v>-30.920632999999999</v>
      </c>
      <c r="E3031" s="4">
        <f>(((((((((-30.5805744/(10/9))+-10.5)+-0.4)*0.98)*1.11)*0.85)-6.5)+3.2)+-0.3)+0.3</f>
        <v>-38.826611856724796</v>
      </c>
      <c r="F3031" s="4">
        <f>((-1.2699189*(1.3/1.5))*0.6)-0.3</f>
        <v>-0.96035782800000002</v>
      </c>
    </row>
    <row r="3032" spans="1:6" x14ac:dyDescent="0.4">
      <c r="A3032" s="4">
        <v>2651.3227499999998</v>
      </c>
      <c r="B3032" s="4">
        <v>1.3576503</v>
      </c>
      <c r="C3032" s="4">
        <v>1.3971986000000001</v>
      </c>
      <c r="D3032" s="4">
        <v>-30.918782</v>
      </c>
      <c r="E3032" s="4">
        <f>(((((((((-30.5685486/(10/9))+-10.5)+-0.4)*0.98)*1.11)*0.85)-6.5)+3.2)+-0.3)+0.3</f>
        <v>-38.816604382816195</v>
      </c>
      <c r="F3032" s="4">
        <f>((-1.2693462*(1.3/1.5))*0.6)-0.3</f>
        <v>-0.9600600239999999</v>
      </c>
    </row>
    <row r="3033" spans="1:6" x14ac:dyDescent="0.4">
      <c r="A3033" s="4">
        <v>2652.1976749999999</v>
      </c>
      <c r="B3033" s="4">
        <v>1.3580738999999999</v>
      </c>
      <c r="C3033" s="4">
        <v>1.3973281</v>
      </c>
      <c r="D3033" s="4">
        <v>-30.917339999999999</v>
      </c>
      <c r="E3033" s="4">
        <f>(((((((((-30.6052497/(10/9))+-10.5)+-0.4)*0.98)*1.11)*0.85)-6.5)+3.2)+-0.3)+0.3</f>
        <v>-38.847145827099901</v>
      </c>
      <c r="F3033" s="4">
        <f>((-1.2686826*(1.3/1.5))*0.6)-0.3</f>
        <v>-0.95971495200000012</v>
      </c>
    </row>
    <row r="3034" spans="1:6" x14ac:dyDescent="0.4">
      <c r="A3034" s="4">
        <v>2653.0726</v>
      </c>
      <c r="B3034" s="4">
        <v>1.3580601999999999</v>
      </c>
      <c r="C3034" s="4">
        <v>1.3976147000000001</v>
      </c>
      <c r="D3034" s="4">
        <v>-30.915921000000001</v>
      </c>
      <c r="E3034" s="4">
        <f>(((((((((-30.5946342/(10/9))+-10.5)+-0.4)*0.98)*1.11)*0.85)-6.5)+3.2)+-0.3)+0.3</f>
        <v>-38.838311958311401</v>
      </c>
      <c r="F3034" s="4">
        <f>((-1.267906*(1.3/1.5))*0.6)-0.3</f>
        <v>-0.95931111999999996</v>
      </c>
    </row>
    <row r="3035" spans="1:6" x14ac:dyDescent="0.4">
      <c r="A3035" s="4">
        <v>2653.947525</v>
      </c>
      <c r="B3035" s="4">
        <v>1.3580741999999999</v>
      </c>
      <c r="C3035" s="4">
        <v>1.397391</v>
      </c>
      <c r="D3035" s="4">
        <v>-30.91423</v>
      </c>
      <c r="E3035" s="4">
        <f>(((((((((-30.5900604/(10/9))+-10.5)+-0.4)*0.98)*1.11)*0.85)-6.5)+3.2)+-0.3)+0.3</f>
        <v>-38.834505792886794</v>
      </c>
      <c r="F3035" s="4">
        <f>((-1.2670289*(1.3/1.5))*0.6)-0.3</f>
        <v>-0.95885502799999989</v>
      </c>
    </row>
    <row r="3036" spans="1:6" x14ac:dyDescent="0.4">
      <c r="A3036" s="4">
        <v>2654.8224500000001</v>
      </c>
      <c r="B3036" s="4">
        <v>1.3585217000000001</v>
      </c>
      <c r="C3036" s="4">
        <v>1.3976542999999999</v>
      </c>
      <c r="D3036" s="4">
        <v>-30.912872</v>
      </c>
      <c r="E3036" s="4">
        <f>(((((((((-30.5889516/(10/9))+-10.5)+-0.4)*0.98)*1.11)*0.85)-6.5)+3.2)+-0.3)+0.3</f>
        <v>-38.833583086117194</v>
      </c>
      <c r="F3036" s="4">
        <f>((-1.2660379*(1.3/1.5))*0.6)-0.3</f>
        <v>-0.95833970800000001</v>
      </c>
    </row>
    <row r="3037" spans="1:6" x14ac:dyDescent="0.4">
      <c r="A3037" s="4">
        <v>2655.6973750000002</v>
      </c>
      <c r="B3037" s="4">
        <v>1.3587724999999999</v>
      </c>
      <c r="C3037" s="4">
        <v>1.3982884</v>
      </c>
      <c r="D3037" s="4">
        <v>-30.911909999999999</v>
      </c>
      <c r="E3037" s="4">
        <f>(((((((((-30.6231363/(10/9))+-10.5)+-0.4)*0.98)*1.11)*0.85)-6.5)+3.2)+-0.3)+0.3</f>
        <v>-38.862030465362096</v>
      </c>
      <c r="F3037" s="4">
        <f>((-1.2649379*(1.3/1.5))*0.6)-0.3</f>
        <v>-0.957767708</v>
      </c>
    </row>
    <row r="3038" spans="1:6" x14ac:dyDescent="0.4">
      <c r="A3038" s="4">
        <v>2656.5722999999998</v>
      </c>
      <c r="B3038" s="4">
        <v>1.3590168</v>
      </c>
      <c r="C3038" s="4">
        <v>1.3986460999999999</v>
      </c>
      <c r="D3038" s="4">
        <v>-30.911241</v>
      </c>
      <c r="E3038" s="4">
        <f>(((((((((-30.5988327/(10/9))+-10.5)+-0.4)*0.98)*1.11)*0.85)-6.5)+3.2)+-0.3)+0.3</f>
        <v>-38.841805811460901</v>
      </c>
      <c r="F3038" s="4">
        <f>((-1.2637932*(1.3/1.5))*0.6)-0.3</f>
        <v>-0.95717246400000011</v>
      </c>
    </row>
    <row r="3039" spans="1:6" x14ac:dyDescent="0.4">
      <c r="A3039" s="4">
        <v>2657.4472249999999</v>
      </c>
      <c r="B3039" s="4">
        <v>1.3593086999999999</v>
      </c>
      <c r="C3039" s="4">
        <v>1.3986339999999999</v>
      </c>
      <c r="D3039" s="4">
        <v>-30.910433999999999</v>
      </c>
      <c r="E3039" s="4">
        <f>(((((((((-30.6056061/(10/9))+-10.5)+-0.4)*0.98)*1.11)*0.85)-6.5)+3.2)+-0.3)+0.3</f>
        <v>-38.847442411418697</v>
      </c>
      <c r="F3039" s="4">
        <f>((-1.2626009*(1.3/1.5))*0.6)-0.3</f>
        <v>-0.95655246799999993</v>
      </c>
    </row>
    <row r="3040" spans="1:6" x14ac:dyDescent="0.4">
      <c r="A3040" s="4">
        <v>2658.32215</v>
      </c>
      <c r="B3040" s="4">
        <v>1.3595390000000001</v>
      </c>
      <c r="C3040" s="4">
        <v>1.3987951000000001</v>
      </c>
      <c r="D3040" s="4">
        <v>-30.909914999999998</v>
      </c>
      <c r="E3040" s="4">
        <f>(((((((((-30.5760051/(10/9))+-10.5)+-0.4)*0.98)*1.11)*0.85)-6.5)+3.2)+-0.3)+0.3</f>
        <v>-38.822809436051699</v>
      </c>
      <c r="F3040" s="4">
        <f>((-1.2612828*(1.3/1.5))*0.6)-0.3</f>
        <v>-0.95586705599999999</v>
      </c>
    </row>
    <row r="3041" spans="1:6" x14ac:dyDescent="0.4">
      <c r="A3041" s="4">
        <v>2659.197075</v>
      </c>
      <c r="B3041" s="4">
        <v>1.3596157</v>
      </c>
      <c r="C3041" s="4">
        <v>1.3989780999999999</v>
      </c>
      <c r="D3041" s="4">
        <v>-30.909803</v>
      </c>
      <c r="E3041" s="4">
        <f>(((((((((-30.6178425/(10/9))+-10.5)+-0.4)*0.98)*1.11)*0.85)-6.5)+3.2)+-0.3)+0.3</f>
        <v>-38.85762513969749</v>
      </c>
      <c r="F3041" s="4">
        <f>((-1.2599257*(1.3/1.5))*0.6)-0.3</f>
        <v>-0.95516136399999985</v>
      </c>
    </row>
    <row r="3042" spans="1:6" x14ac:dyDescent="0.4">
      <c r="A3042" s="4">
        <v>2660.0720000000001</v>
      </c>
      <c r="B3042" s="4">
        <v>1.3599604000000001</v>
      </c>
      <c r="C3042" s="4">
        <v>1.3991171</v>
      </c>
      <c r="D3042" s="4">
        <v>-30.909966999999998</v>
      </c>
      <c r="E3042" s="4">
        <f>(((((((((-30.5856558/(10/9))+-10.5)+-0.4)*0.98)*1.11)*0.85)-6.5)+3.2)+-0.3)+0.3</f>
        <v>-38.830840430118599</v>
      </c>
      <c r="F3042" s="4">
        <f>((-1.2585104*(1.3/1.5))*0.6)-0.3</f>
        <v>-0.95442540800000009</v>
      </c>
    </row>
    <row r="3043" spans="1:6" x14ac:dyDescent="0.4">
      <c r="A3043" s="4">
        <v>2660.9469249999997</v>
      </c>
      <c r="B3043" s="4">
        <v>1.3601955999999999</v>
      </c>
      <c r="C3043" s="4">
        <v>1.3994960999999999</v>
      </c>
      <c r="D3043" s="4">
        <v>-30.910292999999999</v>
      </c>
      <c r="E3043" s="4">
        <f>(((((((((-30.5834589/(10/9))+-10.5)+-0.4)*0.98)*1.11)*0.85)-6.5)+3.2)+-0.3)+0.3</f>
        <v>-38.829012242436292</v>
      </c>
      <c r="F3043" s="4">
        <f>((-1.2570664*(1.3/1.5))*0.6)-0.3</f>
        <v>-0.95367452800000008</v>
      </c>
    </row>
    <row r="3044" spans="1:6" x14ac:dyDescent="0.4">
      <c r="A3044" s="4">
        <v>2661.8218500000003</v>
      </c>
      <c r="B3044" s="4">
        <v>1.3600831</v>
      </c>
      <c r="C3044" s="4">
        <v>1.3995005</v>
      </c>
      <c r="D3044" s="4">
        <v>-30.910568999999999</v>
      </c>
      <c r="E3044" s="4">
        <f>(((((((((-30.6050949/(10/9))+-10.5)+-0.4)*0.98)*1.11)*0.85)-6.5)+3.2)+-0.3)+0.3</f>
        <v>-38.84701700764829</v>
      </c>
      <c r="F3044" s="4">
        <f>((-1.2555135*(1.3/1.5))*0.6)-0.3</f>
        <v>-0.95286702000000001</v>
      </c>
    </row>
    <row r="3045" spans="1:6" x14ac:dyDescent="0.4">
      <c r="A3045" s="4">
        <v>2662.6967749999999</v>
      </c>
      <c r="B3045" s="4">
        <v>1.3602753000000001</v>
      </c>
      <c r="C3045" s="4">
        <v>1.399853</v>
      </c>
      <c r="D3045" s="4">
        <v>-30.9115</v>
      </c>
      <c r="E3045" s="4">
        <f>(((((((((-30.6009171/(10/9))+-10.5)+-0.4)*0.98)*1.11)*0.85)-6.5)+3.2)+-0.3)+0.3</f>
        <v>-38.843540380355691</v>
      </c>
      <c r="F3045" s="4">
        <f>((-1.2538763*(1.3/1.5))*0.6)-0.3</f>
        <v>-0.95201567599999981</v>
      </c>
    </row>
    <row r="3046" spans="1:6" x14ac:dyDescent="0.4">
      <c r="A3046" s="4">
        <v>2663.5717</v>
      </c>
      <c r="B3046" s="4">
        <v>1.3606491000000001</v>
      </c>
      <c r="C3046" s="4">
        <v>1.3999368999999999</v>
      </c>
      <c r="D3046" s="4">
        <v>-30.912241999999999</v>
      </c>
      <c r="E3046" s="4">
        <f>(((((((((-30.5864694/(10/9))+-10.5)+-0.4)*0.98)*1.11)*0.85)-6.5)+3.2)+-0.3)+0.3</f>
        <v>-38.831517481189799</v>
      </c>
      <c r="F3046" s="4">
        <f>((-1.2522618*(1.3/1.5))*0.6)-0.3</f>
        <v>-0.95117613600000017</v>
      </c>
    </row>
    <row r="3047" spans="1:6" x14ac:dyDescent="0.4">
      <c r="A3047" s="4">
        <v>2664.446625</v>
      </c>
      <c r="B3047" s="4">
        <v>1.3610853999999999</v>
      </c>
      <c r="C3047" s="4">
        <v>1.4003258999999999</v>
      </c>
      <c r="D3047" s="4">
        <v>-30.912965</v>
      </c>
      <c r="E3047" s="4">
        <f>(((((((((-30.580362/(10/9))+-10.5)+-0.4)*0.98)*1.11)*0.85)-6.5)+3.2)+-0.3)+0.3</f>
        <v>-38.826435104454006</v>
      </c>
      <c r="F3047" s="4">
        <f>((-1.2506216*(1.3/1.5))*0.6)-0.3</f>
        <v>-0.95032323200000013</v>
      </c>
    </row>
    <row r="3048" spans="1:6" x14ac:dyDescent="0.4">
      <c r="A3048" s="4">
        <v>2665.3215499999997</v>
      </c>
      <c r="B3048" s="4">
        <v>1.361302</v>
      </c>
      <c r="C3048" s="4">
        <v>1.4006133999999999</v>
      </c>
      <c r="D3048" s="4">
        <v>-30.914297999999999</v>
      </c>
      <c r="E3048" s="4">
        <f>(((((((((-30.5978094/(10/9))+-10.5)+-0.4)*0.98)*1.11)*0.85)-6.5)+3.2)+-0.3)+0.3</f>
        <v>-38.840954254969802</v>
      </c>
      <c r="F3048" s="4">
        <f>((-1.2489593*(1.3/1.5))*0.6)-0.3</f>
        <v>-0.94945883600000003</v>
      </c>
    </row>
    <row r="3049" spans="1:6" x14ac:dyDescent="0.4">
      <c r="A3049" s="4">
        <v>2666.1964750000002</v>
      </c>
      <c r="B3049" s="4">
        <v>1.3610381</v>
      </c>
      <c r="C3049" s="4">
        <v>1.4007578999999999</v>
      </c>
      <c r="D3049" s="4">
        <v>-30.916017</v>
      </c>
      <c r="E3049" s="4">
        <f>(((((((((-30.5940843/(10/9))+-10.5)+-0.4)*0.98)*1.11)*0.85)-6.5)+3.2)+-0.3)+0.3</f>
        <v>-38.837854349678096</v>
      </c>
      <c r="F3049" s="4">
        <f>((-1.2473092*(1.3/1.5))*0.6)-0.3</f>
        <v>-0.94860078399999992</v>
      </c>
    </row>
    <row r="3050" spans="1:6" x14ac:dyDescent="0.4">
      <c r="A3050" s="4">
        <v>2667.0713999999998</v>
      </c>
      <c r="B3050" s="4">
        <v>1.3616476</v>
      </c>
      <c r="C3050" s="4">
        <v>1.4009465999999999</v>
      </c>
      <c r="D3050" s="4">
        <v>-30.917984999999998</v>
      </c>
      <c r="E3050" s="4">
        <f>(((((((((-30.6087543/(10/9))+-10.5)+-0.4)*0.98)*1.11)*0.85)-6.5)+3.2)+-0.3)+0.3</f>
        <v>-38.850062239568096</v>
      </c>
      <c r="F3050" s="4">
        <f>((-1.2455479*(1.3/1.5))*0.6)-0.3</f>
        <v>-0.94768490800000005</v>
      </c>
    </row>
    <row r="3051" spans="1:6" x14ac:dyDescent="0.4">
      <c r="A3051" s="4">
        <v>2667.9463250000003</v>
      </c>
      <c r="B3051" s="4">
        <v>1.3619686</v>
      </c>
      <c r="C3051" s="4">
        <v>1.4010773000000001</v>
      </c>
      <c r="D3051" s="4">
        <v>-30.920176999999999</v>
      </c>
      <c r="E3051" s="4">
        <f>(((((((((-30.5832528/(10/9))+-10.5)+-0.4)*0.98)*1.11)*0.85)-6.5)+3.2)+-0.3)+0.3</f>
        <v>-38.828840732817589</v>
      </c>
      <c r="F3051" s="4">
        <f>((-1.2438132*(1.3/1.5))*0.6)-0.3</f>
        <v>-0.946782864</v>
      </c>
    </row>
    <row r="3052" spans="1:6" x14ac:dyDescent="0.4">
      <c r="A3052" s="4">
        <v>2668.82125</v>
      </c>
      <c r="B3052" s="4">
        <v>1.3621353</v>
      </c>
      <c r="C3052" s="4">
        <v>1.4013655</v>
      </c>
      <c r="D3052" s="4">
        <v>-30.922419999999999</v>
      </c>
      <c r="E3052" s="4">
        <f>(((((((((-30.5821989/(10/9))+-10.5)+-0.4)*0.98)*1.11)*0.85)-6.5)+3.2)+-0.3)+0.3</f>
        <v>-38.827963712016306</v>
      </c>
      <c r="F3052" s="4">
        <f>((-1.2420522*(1.3/1.5))*0.6)-0.3</f>
        <v>-0.94586714399999994</v>
      </c>
    </row>
    <row r="3053" spans="1:6" x14ac:dyDescent="0.4">
      <c r="A3053" s="4">
        <v>2669.696175</v>
      </c>
      <c r="B3053" s="4">
        <v>1.3621634</v>
      </c>
      <c r="C3053" s="4">
        <v>1.4016204999999999</v>
      </c>
      <c r="D3053" s="4">
        <v>-30.924644000000001</v>
      </c>
      <c r="E3053" s="4">
        <f>(((((((((-30.5771346/(10/9))+-10.5)+-0.4)*0.98)*1.11)*0.85)-6.5)+3.2)+-0.3)+0.3</f>
        <v>-38.823749368678193</v>
      </c>
      <c r="F3053" s="4">
        <f>((-1.240257*(1.3/1.5))*0.6)-0.3</f>
        <v>-0.94493363999999991</v>
      </c>
    </row>
    <row r="3054" spans="1:6" x14ac:dyDescent="0.4">
      <c r="A3054" s="4">
        <v>2670.5711000000001</v>
      </c>
      <c r="B3054" s="4">
        <v>1.3624784999999999</v>
      </c>
      <c r="C3054" s="4">
        <v>1.4017987999999999</v>
      </c>
      <c r="D3054" s="4">
        <v>-30.927142</v>
      </c>
      <c r="E3054" s="4">
        <f>(((((((((-30.5568783/(10/9))+-10.5)+-0.4)*0.98)*1.11)*0.85)-6.5)+3.2)+-0.3)+0.3</f>
        <v>-38.806892744276098</v>
      </c>
      <c r="F3054" s="4">
        <f>((-1.238494*(1.3/1.5))*0.6)-0.3</f>
        <v>-0.94401687999999995</v>
      </c>
    </row>
    <row r="3055" spans="1:6" x14ac:dyDescent="0.4">
      <c r="A3055" s="4">
        <v>2671.4460249999997</v>
      </c>
      <c r="B3055" s="4">
        <v>1.3628681</v>
      </c>
      <c r="C3055" s="4">
        <v>1.4021763</v>
      </c>
      <c r="D3055" s="4">
        <v>-30.930253</v>
      </c>
      <c r="E3055" s="4">
        <f>(((((((((-30.5684316/(10/9))+-10.5)+-0.4)*0.98)*1.11)*0.85)-6.5)+3.2)+-0.3)+0.3</f>
        <v>-38.816507019277196</v>
      </c>
      <c r="F3055" s="4">
        <f>((-1.2366879*(1.3/1.5))*0.6)-0.3</f>
        <v>-0.9430777079999999</v>
      </c>
    </row>
    <row r="3056" spans="1:6" x14ac:dyDescent="0.4">
      <c r="A3056" s="4">
        <v>2672.3209500000003</v>
      </c>
      <c r="B3056" s="4">
        <v>1.3629868000000001</v>
      </c>
      <c r="C3056" s="4">
        <v>1.4020523</v>
      </c>
      <c r="D3056" s="4">
        <v>-30.933702</v>
      </c>
      <c r="E3056" s="4">
        <f>(((((((((-30.589731/(10/9))+-10.5)+-0.4)*0.98)*1.11)*0.85)-6.5)+3.2)+-0.3)+0.3</f>
        <v>-38.834231677076993</v>
      </c>
      <c r="F3056" s="4">
        <f>((-1.2349294*(1.3/1.5))*0.6)-0.3</f>
        <v>-0.94216328799999993</v>
      </c>
    </row>
    <row r="3057" spans="1:6" x14ac:dyDescent="0.4">
      <c r="A3057" s="4">
        <v>2673.1958749999999</v>
      </c>
      <c r="B3057" s="4">
        <v>1.3631476</v>
      </c>
      <c r="C3057" s="4">
        <v>1.4022418000000001</v>
      </c>
      <c r="D3057" s="4">
        <v>-30.937363999999999</v>
      </c>
      <c r="E3057" s="4">
        <f>(((((((((-30.5776602/(10/9))+-10.5)+-0.4)*0.98)*1.11)*0.85)-6.5)+3.2)+-0.3)+0.3</f>
        <v>-38.824186755653393</v>
      </c>
      <c r="F3057" s="4">
        <f>((-1.2332352*(1.3/1.5))*0.6)-0.3</f>
        <v>-0.94128230400000001</v>
      </c>
    </row>
    <row r="3058" spans="1:6" x14ac:dyDescent="0.4">
      <c r="A3058" s="4">
        <v>2674.0708</v>
      </c>
      <c r="B3058" s="4">
        <v>1.3635596999999999</v>
      </c>
      <c r="C3058" s="4">
        <v>1.4022167999999999</v>
      </c>
      <c r="D3058" s="4">
        <v>-30.940608000000001</v>
      </c>
      <c r="E3058" s="4">
        <f>(((((((((-30.5653176/(10/9))+-10.5)+-0.4)*0.98)*1.11)*0.85)-6.5)+3.2)+-0.3)+0.3</f>
        <v>-38.813915651239199</v>
      </c>
      <c r="F3058" s="4">
        <f>((-1.2314918*(1.3/1.5))*0.6)-0.3</f>
        <v>-0.9403757359999998</v>
      </c>
    </row>
    <row r="3059" spans="1:6" x14ac:dyDescent="0.4">
      <c r="A3059" s="4">
        <v>2674.945725</v>
      </c>
      <c r="B3059" s="4">
        <v>1.3639102000000001</v>
      </c>
      <c r="C3059" s="4">
        <v>1.4025780999999999</v>
      </c>
      <c r="D3059" s="4">
        <v>-30.944181</v>
      </c>
      <c r="E3059" s="4">
        <f>(((((((((-30.5668422/(10/9))+-10.5)+-0.4)*0.98)*1.11)*0.85)-6.5)+3.2)+-0.3)+0.3</f>
        <v>-38.815184373047401</v>
      </c>
      <c r="F3059" s="4">
        <f>((-1.2297819*(1.3/1.5))*0.6)-0.3</f>
        <v>-0.93948658800000007</v>
      </c>
    </row>
    <row r="3060" spans="1:6" x14ac:dyDescent="0.4">
      <c r="A3060" s="4">
        <v>2675.8206500000001</v>
      </c>
      <c r="B3060" s="4">
        <v>1.363917</v>
      </c>
      <c r="C3060" s="4">
        <v>1.4026794</v>
      </c>
      <c r="D3060" s="4">
        <v>-30.947913</v>
      </c>
      <c r="E3060" s="4">
        <f>(((((((((-30.5677206/(10/9))+-10.5)+-0.4)*0.98)*1.11)*0.85)-6.5)+3.2)+-0.3)+0.3</f>
        <v>-38.815915348540202</v>
      </c>
      <c r="F3060" s="4">
        <f>((-1.228155*(1.3/1.5))*0.6)-0.3</f>
        <v>-0.93864060000000005</v>
      </c>
    </row>
    <row r="3061" spans="1:6" x14ac:dyDescent="0.4">
      <c r="A3061" s="4">
        <v>2676.6955750000002</v>
      </c>
      <c r="B3061" s="4">
        <v>1.3641837000000001</v>
      </c>
      <c r="C3061" s="4">
        <v>1.4027248999999999</v>
      </c>
      <c r="D3061" s="4">
        <v>-30.951571999999999</v>
      </c>
      <c r="E3061" s="4">
        <f>(((((((((-30.5707005/(10/9))+-10.5)+-0.4)*0.98)*1.11)*0.85)-6.5)+3.2)+-0.3)+0.3</f>
        <v>-38.818395122983503</v>
      </c>
      <c r="F3061" s="4">
        <f>((-1.2265298*(1.3/1.5))*0.6)-0.3</f>
        <v>-0.93779549600000012</v>
      </c>
    </row>
    <row r="3062" spans="1:6" x14ac:dyDescent="0.4">
      <c r="A3062" s="4">
        <v>2677.5704999999998</v>
      </c>
      <c r="B3062" s="4">
        <v>1.3642273</v>
      </c>
      <c r="C3062" s="4">
        <v>1.4030381000000001</v>
      </c>
      <c r="D3062" s="4">
        <v>-30.955362999999998</v>
      </c>
      <c r="E3062" s="4">
        <f>(((((((((-30.5748135/(10/9))+-10.5)+-0.4)*0.98)*1.11)*0.85)-6.5)+3.2)+-0.3)+0.3</f>
        <v>-38.821817825854495</v>
      </c>
      <c r="F3062" s="4">
        <f>((-1.2249373*(1.3/1.5))*0.6)-0.3</f>
        <v>-0.93696739600000001</v>
      </c>
    </row>
    <row r="3063" spans="1:6" x14ac:dyDescent="0.4">
      <c r="A3063" s="4">
        <v>2678.4454249999999</v>
      </c>
      <c r="B3063" s="4">
        <v>1.3648043999999999</v>
      </c>
      <c r="C3063" s="4">
        <v>1.4034443999999999</v>
      </c>
      <c r="D3063" s="4">
        <v>-30.959547999999998</v>
      </c>
      <c r="E3063" s="4">
        <f>(((((((((-30.5533458/(10/9))+-10.5)+-0.4)*0.98)*1.11)*0.85)-6.5)+3.2)+-0.3)+0.3</f>
        <v>-38.803953114348595</v>
      </c>
      <c r="F3063" s="4">
        <f>((-1.2234029*(1.3/1.5))*0.6)-0.3</f>
        <v>-0.93616950799999987</v>
      </c>
    </row>
    <row r="3064" spans="1:6" x14ac:dyDescent="0.4">
      <c r="A3064" s="4">
        <v>2679.32035</v>
      </c>
      <c r="B3064" s="4">
        <v>1.3651259</v>
      </c>
      <c r="C3064" s="4">
        <v>1.4035339</v>
      </c>
      <c r="D3064" s="4">
        <v>-30.963953999999998</v>
      </c>
      <c r="E3064" s="4">
        <f>(((((((((-30.5387406/(10/9))+-10.5)+-0.4)*0.98)*1.11)*0.85)-6.5)+3.2)+-0.3)+0.3</f>
        <v>-38.791799148880202</v>
      </c>
      <c r="F3064" s="4">
        <f>((-1.2219356*(1.3/1.5))*0.6)-0.3</f>
        <v>-0.93540651199999991</v>
      </c>
    </row>
    <row r="3065" spans="1:6" x14ac:dyDescent="0.4">
      <c r="A3065" s="4">
        <v>2680.195275</v>
      </c>
      <c r="B3065" s="4">
        <v>1.3651542999999999</v>
      </c>
      <c r="C3065" s="4">
        <v>1.4034396</v>
      </c>
      <c r="D3065" s="4">
        <v>-30.968195999999999</v>
      </c>
      <c r="E3065" s="4">
        <f>(((((((((-30.5538228/(10/9))+-10.5)+-0.4)*0.98)*1.11)*0.85)-6.5)+3.2)+-0.3)+0.3</f>
        <v>-38.8043500580076</v>
      </c>
      <c r="F3065" s="4">
        <f>((-1.2205418*(1.3/1.5))*0.6)-0.3</f>
        <v>-0.93468173599999993</v>
      </c>
    </row>
    <row r="3066" spans="1:6" x14ac:dyDescent="0.4">
      <c r="A3066" s="4">
        <v>2681.0702000000001</v>
      </c>
      <c r="B3066" s="4">
        <v>1.3652035</v>
      </c>
      <c r="C3066" s="4">
        <v>1.4036626000000001</v>
      </c>
      <c r="D3066" s="4">
        <v>-30.972017999999998</v>
      </c>
      <c r="E3066" s="4">
        <f>(((((((((-30.5345421/(10/9))+-10.5)+-0.4)*0.98)*1.11)*0.85)-6.5)+3.2)+-0.3)+0.3</f>
        <v>-38.788305295730694</v>
      </c>
      <c r="F3066" s="4">
        <f>((-1.2192379*(1.3/1.5))*0.6)-0.3</f>
        <v>-0.93400370799999988</v>
      </c>
    </row>
    <row r="3067" spans="1:6" x14ac:dyDescent="0.4">
      <c r="A3067" s="4">
        <v>2681.9451250000002</v>
      </c>
      <c r="B3067" s="4">
        <v>1.3656055</v>
      </c>
      <c r="C3067" s="4">
        <v>1.4036074000000001</v>
      </c>
      <c r="D3067" s="4">
        <v>-30.976433999999998</v>
      </c>
      <c r="E3067" s="4">
        <f>(((((((((-30.5200845/(10/9))+-10.5)+-0.4)*0.98)*1.11)*0.85)-6.5)+3.2)+-0.3)+0.3</f>
        <v>-38.776274158111491</v>
      </c>
      <c r="F3067" s="4">
        <f>((-1.2180176*(1.3/1.5))*0.6)-0.3</f>
        <v>-0.93336915200000004</v>
      </c>
    </row>
    <row r="3068" spans="1:6" x14ac:dyDescent="0.4">
      <c r="A3068" s="4">
        <v>2682.8200499999998</v>
      </c>
      <c r="B3068" s="4">
        <v>1.3658698</v>
      </c>
      <c r="C3068" s="4">
        <v>1.4037234999999999</v>
      </c>
      <c r="D3068" s="4">
        <v>-30.980236999999999</v>
      </c>
      <c r="E3068" s="4">
        <f>(((((((((-30.5207919/(10/9))+-10.5)+-0.4)*0.98)*1.11)*0.85)-6.5)+3.2)+-0.3)+0.3</f>
        <v>-38.776862833047296</v>
      </c>
      <c r="F3068" s="4">
        <f>((-1.2168988*(1.3/1.5))*0.6)-0.3</f>
        <v>-0.93278737600000006</v>
      </c>
    </row>
    <row r="3069" spans="1:6" x14ac:dyDescent="0.4">
      <c r="A3069" s="4">
        <v>2683.6949749999999</v>
      </c>
      <c r="B3069" s="4">
        <v>1.3661603</v>
      </c>
      <c r="C3069" s="4">
        <v>1.4040754</v>
      </c>
      <c r="D3069" s="4">
        <v>-30.984438999999998</v>
      </c>
      <c r="E3069" s="4">
        <f>(((((((((-30.5217666/(10/9))+-10.5)+-0.4)*0.98)*1.11)*0.85)-6.5)+3.2)+-0.3)+0.3</f>
        <v>-38.777673946222194</v>
      </c>
      <c r="F3069" s="4">
        <f>((-1.2158401*(1.3/1.5))*0.6)-0.3</f>
        <v>-0.93223685199999995</v>
      </c>
    </row>
    <row r="3070" spans="1:6" x14ac:dyDescent="0.4">
      <c r="A3070" s="4">
        <v>2684.5699</v>
      </c>
      <c r="B3070" s="4">
        <v>1.3660935999999999</v>
      </c>
      <c r="C3070" s="4">
        <v>1.4042060000000001</v>
      </c>
      <c r="D3070" s="4">
        <v>-30.989127</v>
      </c>
      <c r="E3070" s="4">
        <f>(((((((((-30.5370108/(10/9))+-10.5)+-0.4)*0.98)*1.11)*0.85)-6.5)+3.2)+-0.3)+0.3</f>
        <v>-38.790359666403596</v>
      </c>
      <c r="F3070" s="4">
        <f>((-1.2149166*(1.3/1.5))*0.6)-0.3</f>
        <v>-0.93175663199999992</v>
      </c>
    </row>
    <row r="3071" spans="1:6" x14ac:dyDescent="0.4">
      <c r="A3071" s="4">
        <v>2685.444825</v>
      </c>
      <c r="B3071" s="4">
        <v>1.3663961</v>
      </c>
      <c r="C3071" s="4">
        <v>1.4043146</v>
      </c>
      <c r="D3071" s="4">
        <v>-30.993178999999998</v>
      </c>
      <c r="E3071" s="4">
        <f>(((((((((-30.5178084/(10/9))+-10.5)+-0.4)*0.98)*1.11)*0.85)-6.5)+3.2)+-0.3)+0.3</f>
        <v>-38.774380062802798</v>
      </c>
      <c r="F3071" s="4">
        <f>((-1.2140499*(1.3/1.5))*0.6)-0.3</f>
        <v>-0.93130594799999988</v>
      </c>
    </row>
    <row r="3072" spans="1:6" x14ac:dyDescent="0.4">
      <c r="A3072" s="4">
        <v>2686.3197500000001</v>
      </c>
      <c r="B3072" s="4">
        <v>1.3665403</v>
      </c>
      <c r="C3072" s="4">
        <v>1.4047273</v>
      </c>
      <c r="D3072" s="4">
        <v>-30.997177999999998</v>
      </c>
      <c r="E3072" s="4">
        <f>(((((((((-30.5083737/(10/9))+-10.5)+-0.4)*0.98)*1.11)*0.85)-6.5)+3.2)+-0.3)+0.3</f>
        <v>-38.766528816807892</v>
      </c>
      <c r="F3072" s="4">
        <f>((-1.2132617*(1.3/1.5))*0.6)-0.3</f>
        <v>-0.93089608400000001</v>
      </c>
    </row>
    <row r="3073" spans="1:6" x14ac:dyDescent="0.4">
      <c r="A3073" s="4">
        <v>2687.1946749999997</v>
      </c>
      <c r="B3073" s="4">
        <v>1.366992</v>
      </c>
      <c r="C3073" s="4">
        <v>1.4045318</v>
      </c>
      <c r="D3073" s="4">
        <v>-31.001348</v>
      </c>
      <c r="E3073" s="4">
        <f>(((((((((-30.5329527/(10/9))+-10.5)+-0.4)*0.98)*1.11)*0.85)-6.5)+3.2)+-0.3)+0.3</f>
        <v>-38.786982649500899</v>
      </c>
      <c r="F3073" s="4">
        <f>((-1.2126125*(1.3/1.5))*0.6)-0.3</f>
        <v>-0.93055850000000007</v>
      </c>
    </row>
    <row r="3074" spans="1:6" x14ac:dyDescent="0.4">
      <c r="A3074" s="4">
        <v>2688.0696000000003</v>
      </c>
      <c r="B3074" s="4">
        <v>1.3667521</v>
      </c>
      <c r="C3074" s="4">
        <v>1.4046928999999999</v>
      </c>
      <c r="D3074" s="4">
        <v>-31.005178000000001</v>
      </c>
      <c r="E3074" s="4">
        <f>(((((((((-30.5091567/(10/9))+-10.5)+-0.4)*0.98)*1.11)*0.85)-6.5)+3.2)+-0.3)+0.3</f>
        <v>-38.767180403568894</v>
      </c>
      <c r="F3074" s="4">
        <f>((-1.2120969*(1.3/1.5))*0.6)-0.3</f>
        <v>-0.93029038799999997</v>
      </c>
    </row>
    <row r="3075" spans="1:6" x14ac:dyDescent="0.4">
      <c r="A3075" s="4">
        <v>2688.9445249999999</v>
      </c>
      <c r="B3075" s="4">
        <v>1.3675288999999999</v>
      </c>
      <c r="C3075" s="4">
        <v>1.4051427000000001</v>
      </c>
      <c r="D3075" s="4">
        <v>-31.009768999999999</v>
      </c>
      <c r="E3075" s="4">
        <f>(((((((((-30.5056926/(10/9))+-10.5)+-0.4)*0.98)*1.11)*0.85)-6.5)+3.2)+-0.3)+0.3</f>
        <v>-38.764297693864201</v>
      </c>
      <c r="F3075" s="4">
        <f>((-1.211743*(1.3/1.5))*0.6)-0.3</f>
        <v>-0.93010635999999991</v>
      </c>
    </row>
    <row r="3076" spans="1:6" x14ac:dyDescent="0.4">
      <c r="A3076" s="4">
        <v>2689.81945</v>
      </c>
      <c r="B3076" s="4">
        <v>1.3675257000000001</v>
      </c>
      <c r="C3076" s="4">
        <v>1.4050260999999999</v>
      </c>
      <c r="D3076" s="4">
        <v>-31.014249</v>
      </c>
      <c r="E3076" s="4">
        <f>(((((((((-30.5068185/(10/9))+-10.5)+-0.4)*0.98)*1.11)*0.85)-6.5)+3.2)+-0.3)+0.3</f>
        <v>-38.765234630689498</v>
      </c>
      <c r="F3076" s="4">
        <f>((-1.2114607*(1.3/1.5))*0.6)-0.3</f>
        <v>-0.92995956399999979</v>
      </c>
    </row>
    <row r="3077" spans="1:6" x14ac:dyDescent="0.4">
      <c r="A3077" s="4">
        <v>2690.694375</v>
      </c>
      <c r="B3077" s="4">
        <v>1.3679475999999999</v>
      </c>
      <c r="C3077" s="4">
        <v>1.4053872999999999</v>
      </c>
      <c r="D3077" s="4">
        <v>-31.0181</v>
      </c>
      <c r="E3077" s="4">
        <f>(((((((((-30.496914/(10/9))+-10.5)+-0.4)*0.98)*1.11)*0.85)-6.5)+3.2)+-0.3)+0.3</f>
        <v>-38.756992432638</v>
      </c>
      <c r="F3077" s="4">
        <f>((-1.2113105*(1.3/1.5))*0.6)-0.3</f>
        <v>-0.92988146000000005</v>
      </c>
    </row>
    <row r="3078" spans="1:6" x14ac:dyDescent="0.4">
      <c r="A3078" s="4">
        <v>2691.5692999999997</v>
      </c>
      <c r="B3078" s="4">
        <v>1.3679614</v>
      </c>
      <c r="C3078" s="4">
        <v>1.4055707</v>
      </c>
      <c r="D3078" s="4">
        <v>-31.021713999999999</v>
      </c>
      <c r="E3078" s="4">
        <f>(((((((((-30.5143551/(10/9))+-10.5)+-0.4)*0.98)*1.11)*0.85)-6.5)+3.2)+-0.3)+0.3</f>
        <v>-38.771506340501702</v>
      </c>
      <c r="F3078" s="4">
        <f>((-1.2112337*(1.3/1.5))*0.6)-0.3</f>
        <v>-0.92984152399999997</v>
      </c>
    </row>
    <row r="3079" spans="1:6" x14ac:dyDescent="0.4">
      <c r="A3079" s="4">
        <v>2692.4442250000002</v>
      </c>
      <c r="B3079" s="4">
        <v>1.3679357999999999</v>
      </c>
      <c r="C3079" s="4">
        <v>1.4056187</v>
      </c>
      <c r="D3079" s="4">
        <v>-31.025426</v>
      </c>
      <c r="E3079" s="4">
        <f>(((((((((-30.499722/(10/9))+-10.5)+-0.4)*0.98)*1.11)*0.85)-6.5)+3.2)+-0.3)+0.3</f>
        <v>-38.759329157573987</v>
      </c>
      <c r="F3079" s="4">
        <f>((-1.21128*(1.3/1.5))*0.6)-0.3</f>
        <v>-0.92986560000000007</v>
      </c>
    </row>
    <row r="3080" spans="1:6" x14ac:dyDescent="0.4">
      <c r="A3080" s="4">
        <v>2693.3191499999998</v>
      </c>
      <c r="B3080" s="4">
        <v>1.3682901000000001</v>
      </c>
      <c r="C3080" s="4">
        <v>1.4060950999999999</v>
      </c>
      <c r="D3080" s="4">
        <v>-31.029201</v>
      </c>
      <c r="E3080" s="4">
        <f>(((((((((-30.4893198/(10/9))+-10.5)+-0.4)*0.98)*1.11)*0.85)-6.5)+3.2)+-0.3)+0.3</f>
        <v>-38.750672790006597</v>
      </c>
      <c r="F3080" s="4">
        <f>((-1.2115377*(1.3/1.5))*0.6)-0.3</f>
        <v>-0.92999960400000004</v>
      </c>
    </row>
    <row r="3081" spans="1:6" x14ac:dyDescent="0.4">
      <c r="A3081" s="4">
        <v>2694.1940750000003</v>
      </c>
      <c r="B3081" s="4">
        <v>1.3688781999999999</v>
      </c>
      <c r="C3081" s="4">
        <v>1.4062692999999999</v>
      </c>
      <c r="D3081" s="4">
        <v>-31.032730999999998</v>
      </c>
      <c r="E3081" s="4">
        <f>(((((((((-30.4596396/(10/9))+-10.5)+-0.4)*0.98)*1.11)*0.85)-6.5)+3.2)+-0.3)+0.3</f>
        <v>-38.725973907013191</v>
      </c>
      <c r="F3081" s="4">
        <f>((-1.2119461*(1.3/1.5))*0.6)-0.3</f>
        <v>-0.93021197199999994</v>
      </c>
    </row>
    <row r="3082" spans="1:6" x14ac:dyDescent="0.4">
      <c r="A3082" s="4">
        <v>2695.069</v>
      </c>
      <c r="B3082" s="4">
        <v>1.3689026</v>
      </c>
      <c r="C3082" s="4">
        <v>1.4066533000000001</v>
      </c>
      <c r="D3082" s="4">
        <v>-31.03613</v>
      </c>
      <c r="E3082" s="4">
        <f>(((((((((-30.4856217/(10/9))+-10.5)+-0.4)*0.98)*1.11)*0.85)-6.5)+3.2)+-0.3)+0.3</f>
        <v>-38.7475953532239</v>
      </c>
      <c r="F3082" s="4">
        <f>((-1.2124243*(1.3/1.5))*0.6)-0.3</f>
        <v>-0.93046063599999984</v>
      </c>
    </row>
    <row r="3083" spans="1:6" x14ac:dyDescent="0.4">
      <c r="A3083" s="4">
        <v>2695.943925</v>
      </c>
      <c r="B3083" s="4">
        <v>1.3691431000000001</v>
      </c>
      <c r="C3083" s="4">
        <v>1.4068050000000001</v>
      </c>
      <c r="D3083" s="4">
        <v>-31.039307999999998</v>
      </c>
      <c r="E3083" s="4">
        <f>(((((((((-30.476538/(10/9))+-10.5)+-0.4)*0.98)*1.11)*0.85)-6.5)+3.2)+-0.3)+0.3</f>
        <v>-38.740036197846003</v>
      </c>
      <c r="F3083" s="4">
        <f>((-1.2129989*(1.3/1.5))*0.6)-0.3</f>
        <v>-0.930759428</v>
      </c>
    </row>
    <row r="3084" spans="1:6" x14ac:dyDescent="0.4">
      <c r="A3084" s="4">
        <v>2696.8188500000001</v>
      </c>
      <c r="B3084" s="4">
        <v>1.3692366</v>
      </c>
      <c r="C3084" s="4">
        <v>1.4068816</v>
      </c>
      <c r="D3084" s="4">
        <v>-31.042536999999999</v>
      </c>
      <c r="E3084" s="4">
        <f>(((((((((-30.4773822/(10/9))+-10.5)+-0.4)*0.98)*1.11)*0.85)-6.5)+3.2)+-0.3)+0.3</f>
        <v>-38.740738713227394</v>
      </c>
      <c r="F3084" s="4">
        <f>((-1.2137985*(1.3/1.5))*0.6)-0.3</f>
        <v>-0.93117522000000008</v>
      </c>
    </row>
    <row r="3085" spans="1:6" x14ac:dyDescent="0.4">
      <c r="A3085" s="4">
        <v>2697.6937749999997</v>
      </c>
      <c r="B3085" s="4">
        <v>1.3696341999999999</v>
      </c>
      <c r="C3085" s="4">
        <v>1.4066871000000001</v>
      </c>
      <c r="D3085" s="4">
        <v>-31.045189999999998</v>
      </c>
      <c r="E3085" s="4">
        <f>(((((((((-30.4541532/(10/9))+-10.5)+-0.4)*0.98)*1.11)*0.85)-6.5)+3.2)+-0.3)+0.3</f>
        <v>-38.721408305984404</v>
      </c>
      <c r="F3085" s="4">
        <f>((-1.2146903*(1.3/1.5))*0.6)-0.3</f>
        <v>-0.93163895600000002</v>
      </c>
    </row>
    <row r="3086" spans="1:6" x14ac:dyDescent="0.4">
      <c r="A3086" s="4">
        <v>2698.5687000000003</v>
      </c>
      <c r="B3086" s="4">
        <v>1.3695284999999999</v>
      </c>
      <c r="C3086" s="4">
        <v>1.4071783</v>
      </c>
      <c r="D3086" s="4">
        <v>-31.047988</v>
      </c>
      <c r="E3086" s="4">
        <f>(((((((((-30.4364718/(10/9))+-10.5)+-0.4)*0.98)*1.11)*0.85)-6.5)+3.2)+-0.3)+0.3</f>
        <v>-38.706694428390598</v>
      </c>
      <c r="F3086" s="4">
        <f>((-1.2156971*(1.3/1.5))*0.6)-0.3</f>
        <v>-0.93216249200000001</v>
      </c>
    </row>
    <row r="3087" spans="1:6" x14ac:dyDescent="0.4">
      <c r="A3087" s="4">
        <v>2699.4436249999999</v>
      </c>
      <c r="B3087" s="4">
        <v>1.3698931000000001</v>
      </c>
      <c r="C3087" s="4">
        <v>1.4074283000000001</v>
      </c>
      <c r="D3087" s="4">
        <v>-31.050919999999998</v>
      </c>
      <c r="E3087" s="4">
        <f>(((((((((-30.4630623/(10/9))+-10.5)+-0.4)*0.98)*1.11)*0.85)-6.5)+3.2)+-0.3)+0.3</f>
        <v>-38.728822165004097</v>
      </c>
      <c r="F3087" s="4">
        <f>((-1.2167784*(1.3/1.5))*0.6)-0.3</f>
        <v>-0.93272476799999993</v>
      </c>
    </row>
    <row r="3088" spans="1:6" x14ac:dyDescent="0.4">
      <c r="A3088" s="4">
        <v>2700.31855</v>
      </c>
      <c r="B3088" s="4">
        <v>1.3703296</v>
      </c>
      <c r="C3088" s="4">
        <v>1.4075316</v>
      </c>
      <c r="D3088" s="4">
        <v>-31.053653000000001</v>
      </c>
      <c r="E3088" s="4">
        <f>(((((((((-30.4759368/(10/9))+-10.5)+-0.4)*0.98)*1.11)*0.85)-6.5)+3.2)+-0.3)+0.3</f>
        <v>-38.739535899045592</v>
      </c>
      <c r="F3088" s="4">
        <f>((-1.2180221*(1.3/1.5))*0.6)-0.3</f>
        <v>-0.93337149200000002</v>
      </c>
    </row>
    <row r="3089" spans="1:6" x14ac:dyDescent="0.4">
      <c r="A3089" s="4">
        <v>2701.193475</v>
      </c>
      <c r="B3089" s="4">
        <v>1.3701987</v>
      </c>
      <c r="C3089" s="4">
        <v>1.4078659</v>
      </c>
      <c r="D3089" s="4">
        <v>-31.05556</v>
      </c>
      <c r="E3089" s="4">
        <f>(((((((((-30.4530273/(10/9))+-10.5)+-0.4)*0.98)*1.11)*0.85)-6.5)+3.2)+-0.3)+0.3</f>
        <v>-38.720471369159092</v>
      </c>
      <c r="F3089" s="4">
        <f>((-1.2192584*(1.3/1.5))*0.6)-0.3</f>
        <v>-0.93401436799999993</v>
      </c>
    </row>
    <row r="3090" spans="1:6" x14ac:dyDescent="0.4">
      <c r="A3090" s="4">
        <v>2702.0684000000001</v>
      </c>
      <c r="B3090" s="4">
        <v>1.3702966999999999</v>
      </c>
      <c r="C3090" s="4">
        <v>1.4079836999999999</v>
      </c>
      <c r="D3090" s="4">
        <v>-31.056663</v>
      </c>
      <c r="E3090" s="4">
        <f>(((((((((-30.4688331/(10/9))+-10.5)+-0.4)*0.98)*1.11)*0.85)-6.5)+3.2)+-0.3)+0.3</f>
        <v>-38.733624434327695</v>
      </c>
      <c r="F3090" s="4">
        <f>((-1.2206589*(1.3/1.5))*0.6)-0.3</f>
        <v>-0.93474262799999996</v>
      </c>
    </row>
    <row r="3091" spans="1:6" x14ac:dyDescent="0.4">
      <c r="A3091" s="4">
        <v>2702.9433250000002</v>
      </c>
      <c r="B3091" s="4">
        <v>1.370935</v>
      </c>
      <c r="C3091" s="4">
        <v>1.4085395000000001</v>
      </c>
      <c r="D3091" s="4">
        <v>-31.058066999999998</v>
      </c>
      <c r="E3091" s="4">
        <f>(((((((((-30.4678278/(10/9))+-10.5)+-0.4)*0.98)*1.11)*0.85)-6.5)+3.2)+-0.3)+0.3</f>
        <v>-38.732787856842592</v>
      </c>
      <c r="F3091" s="4">
        <f>((-1.2221869*(1.3/1.5))*0.6)-0.3</f>
        <v>-0.93553718800000008</v>
      </c>
    </row>
    <row r="3092" spans="1:6" x14ac:dyDescent="0.4">
      <c r="A3092" s="4">
        <v>2703.8182499999998</v>
      </c>
      <c r="B3092" s="4">
        <v>1.3712344999999999</v>
      </c>
      <c r="C3092" s="4">
        <v>1.4083779999999999</v>
      </c>
      <c r="D3092" s="4">
        <v>-31.059744999999999</v>
      </c>
      <c r="E3092" s="4">
        <f>(((((((((-30.4732179/(10/9))+-10.5)+-0.4)*0.98)*1.11)*0.85)-6.5)+3.2)+-0.3)+0.3</f>
        <v>-38.737273320189288</v>
      </c>
      <c r="F3092" s="4">
        <f>((-1.2238448*(1.3/1.5))*0.6)-0.3</f>
        <v>-0.93639929599999983</v>
      </c>
    </row>
    <row r="3093" spans="1:6" x14ac:dyDescent="0.4">
      <c r="A3093" s="4">
        <v>2704.6931749999999</v>
      </c>
      <c r="B3093" s="4">
        <v>1.3711842999999999</v>
      </c>
      <c r="C3093" s="4">
        <v>1.4085951000000001</v>
      </c>
      <c r="D3093" s="4">
        <v>-31.061055</v>
      </c>
      <c r="E3093" s="4">
        <f>(((((((((-30.4384491/(10/9))+-10.5)+-0.4)*0.98)*1.11)*0.85)-6.5)+3.2)+-0.3)+0.3</f>
        <v>-38.708339872199694</v>
      </c>
      <c r="F3093" s="4">
        <f>((-1.2256352*(1.3/1.5))*0.6)-0.3</f>
        <v>-0.93733030399999984</v>
      </c>
    </row>
    <row r="3094" spans="1:6" x14ac:dyDescent="0.4">
      <c r="A3094" s="4">
        <v>2705.5681</v>
      </c>
      <c r="B3094" s="4">
        <v>1.3714974</v>
      </c>
      <c r="C3094" s="4">
        <v>1.4086813</v>
      </c>
      <c r="D3094" s="4">
        <v>-31.061945999999999</v>
      </c>
      <c r="E3094" s="4">
        <f>(((((((((-30.4373133/(10/9))+-10.5)+-0.4)*0.98)*1.11)*0.85)-6.5)+3.2)+-0.3)+0.3</f>
        <v>-38.707394696921092</v>
      </c>
      <c r="F3094" s="4">
        <f>((-1.2275342*(1.3/1.5))*0.6)-0.3</f>
        <v>-0.93831778399999988</v>
      </c>
    </row>
    <row r="3095" spans="1:6" x14ac:dyDescent="0.4">
      <c r="A3095" s="4">
        <v>2706.443025</v>
      </c>
      <c r="B3095" s="4">
        <v>1.3718296999999999</v>
      </c>
      <c r="C3095" s="4">
        <v>1.4091475</v>
      </c>
      <c r="D3095" s="4">
        <v>-31.062184999999999</v>
      </c>
      <c r="E3095" s="4">
        <f>(((((((((-30.4355385/(10/9))+-10.5)+-0.4)*0.98)*1.11)*0.85)-6.5)+3.2)+-0.3)+0.3</f>
        <v>-38.705917766929495</v>
      </c>
      <c r="F3095" s="4">
        <f>((-1.2294952*(1.3/1.5))*0.6)-0.3</f>
        <v>-0.93933750399999982</v>
      </c>
    </row>
    <row r="3096" spans="1:6" x14ac:dyDescent="0.4">
      <c r="A3096" s="4">
        <v>2707.3179500000001</v>
      </c>
      <c r="B3096" s="4">
        <v>1.3718188</v>
      </c>
      <c r="C3096" s="4">
        <v>1.4091233999999999</v>
      </c>
      <c r="D3096" s="4">
        <v>-31.062345000000001</v>
      </c>
      <c r="E3096" s="4">
        <f>(((((((((-30.4690914/(10/9))+-10.5)+-0.4)*0.98)*1.11)*0.85)-6.5)+3.2)+-0.3)+0.3</f>
        <v>-38.733839383063803</v>
      </c>
      <c r="F3096" s="4">
        <f>((-1.2315261*(1.3/1.5))*0.6)-0.3</f>
        <v>-0.94039357199999984</v>
      </c>
    </row>
    <row r="3097" spans="1:6" x14ac:dyDescent="0.4">
      <c r="A3097" s="4">
        <v>2708.1928750000002</v>
      </c>
      <c r="B3097" s="4">
        <v>1.3719503</v>
      </c>
      <c r="C3097" s="4">
        <v>1.4093347000000001</v>
      </c>
      <c r="D3097" s="4">
        <v>-31.062004999999999</v>
      </c>
      <c r="E3097" s="4">
        <f>(((((((((-30.4124463/(10/9))+-10.5)+-0.4)*0.98)*1.11)*0.85)-6.5)+3.2)+-0.3)+0.3</f>
        <v>-38.686701200132092</v>
      </c>
      <c r="F3097" s="4">
        <f>((-1.2336148*(1.3/1.5))*0.6)-0.3</f>
        <v>-0.94147969600000003</v>
      </c>
    </row>
    <row r="3098" spans="1:6" x14ac:dyDescent="0.4">
      <c r="A3098" s="4">
        <v>2709.0677999999998</v>
      </c>
      <c r="B3098" s="4">
        <v>1.3721462</v>
      </c>
      <c r="C3098" s="4">
        <v>1.4096804000000001</v>
      </c>
      <c r="D3098" s="4">
        <v>-31.061741999999999</v>
      </c>
      <c r="E3098" s="4">
        <f>(((((((((-30.4278786/(10/9))+-10.5)+-0.4)*0.98)*1.11)*0.85)-6.5)+3.2)+-0.3)+0.3</f>
        <v>-38.699543450926193</v>
      </c>
      <c r="F3098" s="4">
        <f>((-1.2358382*(1.3/1.5))*0.6)-0.3</f>
        <v>-0.94263586399999988</v>
      </c>
    </row>
    <row r="3099" spans="1:6" x14ac:dyDescent="0.4">
      <c r="A3099" s="4">
        <v>2709.9427249999999</v>
      </c>
      <c r="B3099" s="4">
        <v>1.3725539</v>
      </c>
      <c r="C3099" s="4">
        <v>1.4098922</v>
      </c>
      <c r="D3099" s="4">
        <v>-31.060936999999999</v>
      </c>
      <c r="E3099" s="4">
        <f>(((((((((-30.4342956/(10/9))+-10.5)+-0.4)*0.98)*1.11)*0.85)-6.5)+3.2)+-0.3)+0.3</f>
        <v>-38.704883466565192</v>
      </c>
      <c r="F3099" s="4">
        <f>((-1.2380778*(1.3/1.5))*0.6)-0.3</f>
        <v>-0.94380045599999995</v>
      </c>
    </row>
    <row r="3100" spans="1:6" x14ac:dyDescent="0.4">
      <c r="A3100" s="4">
        <v>2710.81765</v>
      </c>
      <c r="B3100" s="4">
        <v>1.372503</v>
      </c>
      <c r="C3100" s="4">
        <v>1.4098090999999999</v>
      </c>
      <c r="D3100" s="4">
        <v>-31.060365000000001</v>
      </c>
      <c r="E3100" s="4">
        <f>(((((((((-30.446037/(10/9))+-10.5)+-0.4)*0.98)*1.11)*0.85)-6.5)+3.2)+-0.3)+0.3</f>
        <v>-38.71465427217899</v>
      </c>
      <c r="F3100" s="4">
        <f>((-1.2403464*(1.3/1.5))*0.6)-0.3</f>
        <v>-0.94498012800000009</v>
      </c>
    </row>
    <row r="3101" spans="1:6" x14ac:dyDescent="0.4">
      <c r="A3101" s="4">
        <v>2711.692575</v>
      </c>
      <c r="B3101" s="4">
        <v>1.3725433</v>
      </c>
      <c r="C3101" s="4">
        <v>1.4099056000000001</v>
      </c>
      <c r="D3101" s="4">
        <v>-31.059452999999998</v>
      </c>
      <c r="E3101" s="4">
        <f>(((((((((-30.4571466/(10/9))+-10.5)+-0.4)*0.98)*1.11)*0.85)-6.5)+3.2)+-0.3)+0.3</f>
        <v>-38.7238993146822</v>
      </c>
      <c r="F3101" s="4">
        <f>((-1.2426888*(1.3/1.5))*0.6)-0.3</f>
        <v>-0.946198176</v>
      </c>
    </row>
    <row r="3102" spans="1:6" x14ac:dyDescent="0.4">
      <c r="A3102" s="4">
        <v>2712.5675000000001</v>
      </c>
      <c r="B3102" s="4">
        <v>1.3727847</v>
      </c>
      <c r="C3102" s="4">
        <v>1.410037</v>
      </c>
      <c r="D3102" s="4">
        <v>-31.058485999999998</v>
      </c>
      <c r="E3102" s="4">
        <f>(((((((((-30.4152516/(10/9))+-10.5)+-0.4)*0.98)*1.11)*0.85)-6.5)+3.2)+-0.3)+0.3</f>
        <v>-38.689035678217202</v>
      </c>
      <c r="F3102" s="4">
        <f>((-1.245191*(1.3/1.5))*0.6)-0.3</f>
        <v>-0.94749931999999992</v>
      </c>
    </row>
    <row r="3103" spans="1:6" x14ac:dyDescent="0.4">
      <c r="A3103" s="4">
        <v>2713.4424249999997</v>
      </c>
      <c r="B3103" s="4">
        <v>1.3732645999999999</v>
      </c>
      <c r="C3103" s="4">
        <v>1.4105239000000001</v>
      </c>
      <c r="D3103" s="4">
        <v>-31.056933999999998</v>
      </c>
      <c r="E3103" s="4">
        <f>(((((((((-30.3910128/(10/9))+-10.5)+-0.4)*0.98)*1.11)*0.85)-6.5)+3.2)+-0.3)+0.3</f>
        <v>-38.668864948737593</v>
      </c>
      <c r="F3103" s="4">
        <f>((-1.2476258*(1.3/1.5))*0.6)-0.3</f>
        <v>-0.94876541600000008</v>
      </c>
    </row>
    <row r="3104" spans="1:6" x14ac:dyDescent="0.4">
      <c r="A3104" s="4">
        <v>2714.3173500000003</v>
      </c>
      <c r="B3104" s="4">
        <v>1.3735241</v>
      </c>
      <c r="C3104" s="4">
        <v>1.4107696999999999</v>
      </c>
      <c r="D3104" s="4">
        <v>-31.055115999999998</v>
      </c>
      <c r="E3104" s="4">
        <f>(((((((((-30.4372854/(10/9))+-10.5)+-0.4)*0.98)*1.11)*0.85)-6.5)+3.2)+-0.3)+0.3</f>
        <v>-38.707371479461806</v>
      </c>
      <c r="F3104" s="4">
        <f>((-1.2501069*(1.3/1.5))*0.6)-0.3</f>
        <v>-0.95005558800000012</v>
      </c>
    </row>
    <row r="3105" spans="1:6" x14ac:dyDescent="0.4">
      <c r="A3105" s="4">
        <v>2715.1922749999999</v>
      </c>
      <c r="B3105" s="4">
        <v>1.3733013999999999</v>
      </c>
      <c r="C3105" s="4">
        <v>1.4105985999999999</v>
      </c>
      <c r="D3105" s="4">
        <v>-31.053334</v>
      </c>
      <c r="E3105" s="4">
        <f>(((((((((-30.4227117/(10/9))+-10.5)+-0.4)*0.98)*1.11)*0.85)-6.5)+3.2)+-0.3)+0.3</f>
        <v>-38.695243727253903</v>
      </c>
      <c r="F3105" s="4">
        <f>((-1.2525505*(1.3/1.5))*0.6)-0.3</f>
        <v>-0.95132625999999987</v>
      </c>
    </row>
    <row r="3106" spans="1:6" x14ac:dyDescent="0.4">
      <c r="A3106" s="4">
        <v>2716.0672000000004</v>
      </c>
      <c r="B3106" s="4">
        <v>1.3737431</v>
      </c>
      <c r="C3106" s="4">
        <v>1.4107034000000001</v>
      </c>
      <c r="D3106" s="4">
        <v>-31.051172999999999</v>
      </c>
      <c r="E3106" s="4">
        <f>(((((((((-30.4174485/(10/9))+-10.5)+-0.4)*0.98)*1.11)*0.85)-6.5)+3.2)+-0.3)+0.3</f>
        <v>-38.690863865899502</v>
      </c>
      <c r="F3106" s="4">
        <f>((-1.2550659*(1.3/1.5))*0.6)-0.3</f>
        <v>-0.95263426799999995</v>
      </c>
    </row>
    <row r="3107" spans="1:6" x14ac:dyDescent="0.4">
      <c r="A3107" s="4">
        <v>2716.942125</v>
      </c>
      <c r="B3107" s="4">
        <v>1.3737965999999999</v>
      </c>
      <c r="C3107" s="4">
        <v>1.410709</v>
      </c>
      <c r="D3107" s="4">
        <v>-31.049254999999999</v>
      </c>
      <c r="E3107" s="4">
        <f>(((((((((-30.4162947/(10/9))+-10.5)+-0.4)*0.98)*1.11)*0.85)-6.5)+3.2)+-0.3)+0.3</f>
        <v>-38.689903711614903</v>
      </c>
      <c r="F3107" s="4">
        <f>((-1.2576464*(1.3/1.5))*0.6)-0.3</f>
        <v>-0.95397612800000009</v>
      </c>
    </row>
    <row r="3108" spans="1:6" x14ac:dyDescent="0.4">
      <c r="A3108" s="4">
        <v>2717.8170499999997</v>
      </c>
      <c r="B3108" s="4">
        <v>1.3738376999999999</v>
      </c>
      <c r="C3108" s="4">
        <v>1.410917</v>
      </c>
      <c r="D3108" s="4">
        <v>-31.046968</v>
      </c>
      <c r="E3108" s="4">
        <f>(((((((((-30.4118109/(10/9))+-10.5)+-0.4)*0.98)*1.11)*0.85)-6.5)+3.2)+-0.3)+0.3</f>
        <v>-38.686172441220293</v>
      </c>
      <c r="F3108" s="4">
        <f>((-1.2602332*(1.3/1.5))*0.6)-0.3</f>
        <v>-0.95532126399999995</v>
      </c>
    </row>
    <row r="3109" spans="1:6" x14ac:dyDescent="0.4">
      <c r="A3109" s="4">
        <v>2718.6919750000002</v>
      </c>
      <c r="B3109" s="4">
        <v>1.3740005</v>
      </c>
      <c r="C3109" s="4">
        <v>1.4109875999999999</v>
      </c>
      <c r="D3109" s="4">
        <v>-31.044597</v>
      </c>
      <c r="E3109" s="4">
        <f>(((((((((-30.4159689/(10/9))+-10.5)+-0.4)*0.98)*1.11)*0.85)-6.5)+3.2)+-0.3)+0.3</f>
        <v>-38.689632591606298</v>
      </c>
      <c r="F3109" s="4">
        <f>((-1.2627951*(1.3/1.5))*0.6)-0.3</f>
        <v>-0.95665345199999985</v>
      </c>
    </row>
    <row r="3110" spans="1:6" x14ac:dyDescent="0.4">
      <c r="A3110" s="4">
        <v>2719.5668999999998</v>
      </c>
      <c r="B3110" s="4">
        <v>1.3743156999999999</v>
      </c>
      <c r="C3110" s="4">
        <v>1.4112750000000001</v>
      </c>
      <c r="D3110" s="4">
        <v>-31.041373</v>
      </c>
      <c r="E3110" s="4">
        <f>(((((((((-30.4325028/(10/9))+-10.5)+-0.4)*0.98)*1.11)*0.85)-6.5)+3.2)+-0.3)+0.3</f>
        <v>-38.703391557567599</v>
      </c>
      <c r="F3110" s="4">
        <f>((-1.2653269*(1.3/1.5))*0.6)-0.3</f>
        <v>-0.95796998799999988</v>
      </c>
    </row>
    <row r="3111" spans="1:6" x14ac:dyDescent="0.4">
      <c r="A3111" s="4">
        <v>2720.4418250000003</v>
      </c>
      <c r="B3111" s="4">
        <v>1.3746259999999999</v>
      </c>
      <c r="C3111" s="4">
        <v>1.4115500000000001</v>
      </c>
      <c r="D3111" s="4">
        <v>-31.038792999999998</v>
      </c>
      <c r="E3111" s="4">
        <f>(((((((((-30.413088/(10/9))+-10.5)+-0.4)*0.98)*1.11)*0.85)-6.5)+3.2)+-0.3)+0.3</f>
        <v>-38.687235201695998</v>
      </c>
      <c r="F3111" s="4">
        <f>((-1.2678534*(1.3/1.5))*0.6)-0.3</f>
        <v>-0.95928376799999993</v>
      </c>
    </row>
    <row r="3112" spans="1:6" x14ac:dyDescent="0.4">
      <c r="A3112" s="4">
        <v>2721.31675</v>
      </c>
      <c r="B3112" s="4">
        <v>1.3747484999999999</v>
      </c>
      <c r="C3112" s="4">
        <v>1.4118942999999999</v>
      </c>
      <c r="D3112" s="4">
        <v>-31.035883999999999</v>
      </c>
      <c r="E3112" s="4">
        <f>(((((((((-30.4082478/(10/9))+-10.5)+-0.4)*0.98)*1.11)*0.85)-6.5)+3.2)+-0.3)+0.3</f>
        <v>-38.683207346982606</v>
      </c>
      <c r="F3112" s="4">
        <f>((-1.2703758*(1.3/1.5))*0.6)-0.3</f>
        <v>-0.96059541599999987</v>
      </c>
    </row>
    <row r="3113" spans="1:6" x14ac:dyDescent="0.4">
      <c r="A3113" s="4">
        <v>2722.191675</v>
      </c>
      <c r="B3113" s="4">
        <v>1.3750355000000001</v>
      </c>
      <c r="C3113" s="4">
        <v>1.4119657999999999</v>
      </c>
      <c r="D3113" s="4">
        <v>-31.032519999999998</v>
      </c>
      <c r="E3113" s="4">
        <f>(((((((((-30.4326675/(10/9))+-10.5)+-0.4)*0.98)*1.11)*0.85)-6.5)+3.2)+-0.3)+0.3</f>
        <v>-38.7035286154725</v>
      </c>
      <c r="F3113" s="4">
        <f>((-1.2728251*(1.3/1.5))*0.6)-0.3</f>
        <v>-0.96186905199999995</v>
      </c>
    </row>
    <row r="3114" spans="1:6" x14ac:dyDescent="0.4">
      <c r="A3114" s="4">
        <v>2723.0666000000001</v>
      </c>
      <c r="B3114" s="4">
        <v>1.3750703</v>
      </c>
      <c r="C3114" s="4">
        <v>1.4121410000000001</v>
      </c>
      <c r="D3114" s="4">
        <v>-31.029767</v>
      </c>
      <c r="E3114" s="4">
        <f>(((((((((-30.4241535/(10/9))+-10.5)+-0.4)*0.98)*1.11)*0.85)-6.5)+3.2)+-0.3)+0.3</f>
        <v>-38.696443545634494</v>
      </c>
      <c r="F3114" s="4">
        <f>((-1.275275*(1.3/1.5))*0.6)-0.3</f>
        <v>-0.96314299999999986</v>
      </c>
    </row>
    <row r="3115" spans="1:6" x14ac:dyDescent="0.4">
      <c r="A3115" s="4">
        <v>2723.9415249999997</v>
      </c>
      <c r="B3115" s="4">
        <v>1.3751264999999999</v>
      </c>
      <c r="C3115" s="4">
        <v>1.4119225</v>
      </c>
      <c r="D3115" s="4">
        <v>-31.026702</v>
      </c>
      <c r="E3115" s="4">
        <f>(((((((((-30.4240158/(10/9))+-10.5)+-0.4)*0.98)*1.11)*0.85)-6.5)+3.2)+-0.3)+0.3</f>
        <v>-38.696328956238602</v>
      </c>
      <c r="F3115" s="4">
        <f>((-1.2776484*(1.3/1.5))*0.6)-0.3</f>
        <v>-0.96437716799999995</v>
      </c>
    </row>
    <row r="3116" spans="1:6" x14ac:dyDescent="0.4">
      <c r="A3116" s="4">
        <v>2724.8164500000003</v>
      </c>
      <c r="B3116" s="4">
        <v>1.3750945000000001</v>
      </c>
      <c r="C3116" s="4">
        <v>1.411958</v>
      </c>
      <c r="D3116" s="4">
        <v>-31.022973</v>
      </c>
      <c r="E3116" s="4">
        <f>(((((((((-30.4208469/(10/9))+-10.5)+-0.4)*0.98)*1.11)*0.85)-6.5)+3.2)+-0.3)+0.3</f>
        <v>-38.693691902232295</v>
      </c>
      <c r="F3116" s="4">
        <f>((-1.2799695*(1.3/1.5))*0.6)-0.3</f>
        <v>-0.96558414000000004</v>
      </c>
    </row>
    <row r="3117" spans="1:6" x14ac:dyDescent="0.4">
      <c r="A3117" s="4">
        <v>2725.6913749999999</v>
      </c>
      <c r="B3117" s="4">
        <v>1.3752511000000001</v>
      </c>
      <c r="C3117" s="4">
        <v>1.4123848999999999</v>
      </c>
      <c r="D3117" s="4">
        <v>-31.019348999999998</v>
      </c>
      <c r="E3117" s="4">
        <f>(((((((((-30.4439013/(10/9))+-10.5)+-0.4)*0.98)*1.11)*0.85)-6.5)+3.2)+-0.3)+0.3</f>
        <v>-38.712877013117094</v>
      </c>
      <c r="F3117" s="4">
        <f>((-1.2821975*(1.3/1.5))*0.6)-0.3</f>
        <v>-0.96674269999999995</v>
      </c>
    </row>
    <row r="3118" spans="1:6" x14ac:dyDescent="0.4">
      <c r="A3118" s="4">
        <v>2726.5663</v>
      </c>
      <c r="B3118" s="4">
        <v>1.3756231999999999</v>
      </c>
      <c r="C3118" s="4">
        <v>1.4127961</v>
      </c>
      <c r="D3118" s="4">
        <v>-31.015756</v>
      </c>
      <c r="E3118" s="4">
        <f>(((((((((-30.4184817/(10/9))+-10.5)+-0.4)*0.98)*1.11)*0.85)-6.5)+3.2)+-0.3)+0.3</f>
        <v>-38.691723660843898</v>
      </c>
      <c r="F3118" s="4">
        <f>((-1.2844495*(1.3/1.5))*0.6)-0.3</f>
        <v>-0.96791373999999997</v>
      </c>
    </row>
    <row r="3119" spans="1:6" x14ac:dyDescent="0.4">
      <c r="A3119" s="4">
        <v>2727.441225</v>
      </c>
      <c r="B3119" s="4">
        <v>1.3756778000000001</v>
      </c>
      <c r="C3119" s="4">
        <v>1.4130175</v>
      </c>
      <c r="D3119" s="4">
        <v>-31.011578999999998</v>
      </c>
      <c r="E3119" s="4">
        <f>(((((((((-30.4189074/(10/9))+-10.5)+-0.4)*0.98)*1.11)*0.85)-6.5)+3.2)+-0.3)+0.3</f>
        <v>-38.69207791433579</v>
      </c>
      <c r="F3119" s="4">
        <f>((-1.2865735*(1.3/1.5))*0.6)-0.3</f>
        <v>-0.96901821999999993</v>
      </c>
    </row>
    <row r="3120" spans="1:6" x14ac:dyDescent="0.4">
      <c r="A3120" s="4">
        <v>2728.3161500000001</v>
      </c>
      <c r="B3120" s="4">
        <v>1.3759549</v>
      </c>
      <c r="C3120" s="4">
        <v>1.4128339999999999</v>
      </c>
      <c r="D3120" s="4">
        <v>-31.007498999999999</v>
      </c>
      <c r="E3120" s="4">
        <f>(((((((((-30.4585785/(10/9))+-10.5)+-0.4)*0.98)*1.11)*0.85)-6.5)+3.2)+-0.3)+0.3</f>
        <v>-38.725090894609501</v>
      </c>
      <c r="F3120" s="4">
        <f>((-1.2885373*(1.3/1.5))*0.6)-0.3</f>
        <v>-0.970039396</v>
      </c>
    </row>
    <row r="3121" spans="1:6" x14ac:dyDescent="0.4">
      <c r="A3121" s="4">
        <v>2729.1910750000002</v>
      </c>
      <c r="B3121" s="4">
        <v>1.3759089</v>
      </c>
      <c r="C3121" s="4">
        <v>1.4128156000000001</v>
      </c>
      <c r="D3121" s="4">
        <v>-31.003195999999999</v>
      </c>
      <c r="E3121" s="4">
        <f>(((((((((-30.4458651/(10/9))+-10.5)+-0.4)*0.98)*1.11)*0.85)-6.5)+3.2)+-0.3)+0.3</f>
        <v>-38.714511222671696</v>
      </c>
      <c r="F3121" s="4">
        <f>((-1.2904352*(1.3/1.5))*0.6)-0.3</f>
        <v>-0.97102630399999978</v>
      </c>
    </row>
    <row r="3122" spans="1:6" x14ac:dyDescent="0.4">
      <c r="A3122" s="4">
        <v>2730.0659999999998</v>
      </c>
      <c r="B3122" s="4">
        <v>1.3761418000000001</v>
      </c>
      <c r="C3122" s="4">
        <v>1.4129912</v>
      </c>
      <c r="D3122" s="4">
        <v>-30.999476999999999</v>
      </c>
      <c r="E3122" s="4">
        <f>(((((((((-30.439809/(10/9))+-10.5)+-0.4)*0.98)*1.11)*0.85)-6.5)+3.2)+-0.3)+0.3</f>
        <v>-38.709471536103003</v>
      </c>
      <c r="F3122" s="4">
        <f>((-1.2922697*(1.3/1.5))*0.6)-0.3</f>
        <v>-0.97198024400000005</v>
      </c>
    </row>
    <row r="3123" spans="1:6" x14ac:dyDescent="0.4">
      <c r="A3123" s="4">
        <v>2730.9409249999999</v>
      </c>
      <c r="B3123" s="4">
        <v>1.3763912</v>
      </c>
      <c r="C3123" s="4">
        <v>1.4132</v>
      </c>
      <c r="D3123" s="4">
        <v>-30.995428999999998</v>
      </c>
      <c r="E3123" s="4">
        <f>(((((((((-30.4483815/(10/9))+-10.5)+-0.4)*0.98)*1.11)*0.85)-6.5)+3.2)+-0.3)+0.3</f>
        <v>-38.716605287710493</v>
      </c>
      <c r="F3123" s="4">
        <f>((-1.2940384*(1.3/1.5))*0.6)-0.3</f>
        <v>-0.97289996799999989</v>
      </c>
    </row>
    <row r="3124" spans="1:6" x14ac:dyDescent="0.4">
      <c r="A3124" s="4">
        <v>2731.81585</v>
      </c>
      <c r="B3124" s="4">
        <v>1.3766433</v>
      </c>
      <c r="C3124" s="4">
        <v>1.4132963000000001</v>
      </c>
      <c r="D3124" s="4">
        <v>-30.991316999999999</v>
      </c>
      <c r="E3124" s="4">
        <f>(((((((((-30.452742/(10/9))+-10.5)+-0.4)*0.98)*1.11)*0.85)-6.5)+3.2)+-0.3)+0.3</f>
        <v>-38.720233951913997</v>
      </c>
      <c r="F3124" s="4">
        <f>((-1.2956544*(1.3/1.5))*0.6)-0.3</f>
        <v>-0.97374028800000012</v>
      </c>
    </row>
    <row r="3125" spans="1:6" x14ac:dyDescent="0.4">
      <c r="A3125" s="4">
        <v>2732.690775</v>
      </c>
      <c r="B3125" s="4">
        <v>1.3767461999999999</v>
      </c>
      <c r="C3125" s="4">
        <v>1.4134635</v>
      </c>
      <c r="D3125" s="4">
        <v>-30.987280999999999</v>
      </c>
      <c r="E3125" s="4">
        <f>(((((((((-30.4213725/(10/9))+-10.5)+-0.4)*0.98)*1.11)*0.85)-6.5)+3.2)+-0.3)+0.3</f>
        <v>-38.694129289207496</v>
      </c>
      <c r="F3125" s="4">
        <f>((-1.2971821*(1.3/1.5))*0.6)-0.3</f>
        <v>-0.97453469199999998</v>
      </c>
    </row>
    <row r="3126" spans="1:6" x14ac:dyDescent="0.4">
      <c r="A3126" s="4">
        <v>2733.5657000000001</v>
      </c>
      <c r="B3126" s="4">
        <v>1.3768301999999999</v>
      </c>
      <c r="C3126" s="4">
        <v>1.4134770999999999</v>
      </c>
      <c r="D3126" s="4">
        <v>-30.983309999999999</v>
      </c>
      <c r="E3126" s="4">
        <f>(((((((((-30.4569855/(10/9))+-10.5)+-0.4)*0.98)*1.11)*0.85)-6.5)+3.2)+-0.3)+0.3</f>
        <v>-38.723765252578495</v>
      </c>
      <c r="F3126" s="4">
        <f>((-1.2986075*(1.3/1.5))*0.6)-0.3</f>
        <v>-0.97527589999999997</v>
      </c>
    </row>
    <row r="3127" spans="1:6" x14ac:dyDescent="0.4">
      <c r="A3127" s="4">
        <v>2734.4406250000002</v>
      </c>
      <c r="B3127" s="4">
        <v>1.3770591999999999</v>
      </c>
      <c r="C3127" s="4">
        <v>1.4137797000000001</v>
      </c>
      <c r="D3127" s="4">
        <v>-30.978662</v>
      </c>
      <c r="E3127" s="4">
        <f>(((((((((-30.459636/(10/9))+-10.5)+-0.4)*0.98)*1.11)*0.85)-6.5)+3.2)+-0.3)+0.3</f>
        <v>-38.725970911211995</v>
      </c>
      <c r="F3127" s="4">
        <f>((-1.299945*(1.3/1.5))*0.6)-0.3</f>
        <v>-0.97597139999999993</v>
      </c>
    </row>
    <row r="3128" spans="1:6" x14ac:dyDescent="0.4">
      <c r="A3128" s="4">
        <v>2735.3155499999998</v>
      </c>
      <c r="B3128" s="4">
        <v>1.3772407</v>
      </c>
      <c r="C3128" s="4">
        <v>1.4138031</v>
      </c>
      <c r="D3128" s="4">
        <v>-30.974623999999999</v>
      </c>
      <c r="E3128" s="4">
        <f>(((((((((-30.4631586/(10/9))+-10.5)+-0.4)*0.98)*1.11)*0.85)-6.5)+3.2)+-0.3)+0.3</f>
        <v>-38.728902302686201</v>
      </c>
      <c r="F3128" s="4">
        <f>((-1.301054*(1.3/1.5))*0.6)-0.3</f>
        <v>-0.97654807999999993</v>
      </c>
    </row>
    <row r="3129" spans="1:6" x14ac:dyDescent="0.4">
      <c r="A3129" s="4">
        <v>2736.1904749999999</v>
      </c>
      <c r="B3129" s="4">
        <v>1.3773466000000001</v>
      </c>
      <c r="C3129" s="4">
        <v>1.4138188</v>
      </c>
      <c r="D3129" s="4">
        <v>-30.970568999999998</v>
      </c>
      <c r="E3129" s="4">
        <f>(((((((((-30.4686108/(10/9))+-10.5)+-0.4)*0.98)*1.11)*0.85)-6.5)+3.2)+-0.3)+0.3</f>
        <v>-38.733439443603586</v>
      </c>
      <c r="F3129" s="4">
        <f>((-1.3020949*(1.3/1.5))*0.6)-0.3</f>
        <v>-0.97708934800000002</v>
      </c>
    </row>
    <row r="3130" spans="1:6" x14ac:dyDescent="0.4">
      <c r="A3130" s="4">
        <v>2737.0654</v>
      </c>
      <c r="B3130" s="4">
        <v>1.377416</v>
      </c>
      <c r="C3130" s="4">
        <v>1.4139387999999999</v>
      </c>
      <c r="D3130" s="4">
        <v>-30.967020999999999</v>
      </c>
      <c r="E3130" s="4">
        <f>(((((((((-30.4549083/(10/9))+-10.5)+-0.4)*0.98)*1.11)*0.85)-6.5)+3.2)+-0.3)+0.3</f>
        <v>-38.722036675286084</v>
      </c>
      <c r="F3130" s="4">
        <f>((-1.3030428*(1.3/1.5))*0.6)-0.3</f>
        <v>-0.97758225600000004</v>
      </c>
    </row>
    <row r="3131" spans="1:6" x14ac:dyDescent="0.4">
      <c r="A3131" s="4">
        <v>2737.940325</v>
      </c>
      <c r="B3131" s="4">
        <v>1.3773230000000001</v>
      </c>
      <c r="C3131" s="4">
        <v>1.4138926000000001</v>
      </c>
      <c r="D3131" s="4">
        <v>-30.9635</v>
      </c>
      <c r="E3131" s="4">
        <f>(((((((((-30.43503/(10/9))+-10.5)+-0.4)*0.98)*1.11)*0.85)-6.5)+3.2)+-0.3)+0.3</f>
        <v>-38.705494610009993</v>
      </c>
      <c r="F3131" s="4">
        <f>((-1.3038371*(1.3/1.5))*0.6)-0.3</f>
        <v>-0.97799529199999991</v>
      </c>
    </row>
    <row r="3132" spans="1:6" x14ac:dyDescent="0.4">
      <c r="A3132" s="4">
        <v>2738.8152500000001</v>
      </c>
      <c r="B3132" s="4">
        <v>1.3776307999999999</v>
      </c>
      <c r="C3132" s="4">
        <v>1.4140784</v>
      </c>
      <c r="D3132" s="4">
        <v>-30.959394</v>
      </c>
      <c r="E3132" s="4">
        <f>(((((((((-30.453858/(10/9))+-10.5)+-0.4)*0.98)*1.11)*0.85)-6.5)+3.2)+-0.3)+0.3</f>
        <v>-38.721162650285997</v>
      </c>
      <c r="F3132" s="4">
        <f>((-1.3045722*(1.3/1.5))*0.6)-0.3</f>
        <v>-0.97837754399999999</v>
      </c>
    </row>
    <row r="3133" spans="1:6" x14ac:dyDescent="0.4">
      <c r="A3133" s="4">
        <v>2739.6901749999997</v>
      </c>
      <c r="B3133" s="4">
        <v>1.3778014999999999</v>
      </c>
      <c r="C3133" s="4">
        <v>1.4141963</v>
      </c>
      <c r="D3133" s="4">
        <v>-30.955736999999999</v>
      </c>
      <c r="E3133" s="4">
        <f>(((((((((-30.4965054/(10/9))+-10.5)+-0.4)*0.98)*1.11)*0.85)-6.5)+3.2)+-0.3)+0.3</f>
        <v>-38.756652409201799</v>
      </c>
      <c r="F3133" s="4">
        <f>((-1.3051517*(1.3/1.5))*0.6)-0.3</f>
        <v>-0.97867888400000003</v>
      </c>
    </row>
    <row r="3134" spans="1:6" x14ac:dyDescent="0.4">
      <c r="A3134" s="4">
        <v>2740.5651000000003</v>
      </c>
      <c r="B3134" s="4">
        <v>1.3778448999999999</v>
      </c>
      <c r="C3134" s="4">
        <v>1.4143128</v>
      </c>
      <c r="D3134" s="4">
        <v>-30.952178</v>
      </c>
      <c r="E3134" s="4">
        <f>(((((((((-30.4682571/(10/9))+-10.5)+-0.4)*0.98)*1.11)*0.85)-6.5)+3.2)+-0.3)+0.3</f>
        <v>-38.733145106135687</v>
      </c>
      <c r="F3134" s="4">
        <f>((-1.3055382*(1.3/1.5))*0.6)-0.3</f>
        <v>-0.97887986400000004</v>
      </c>
    </row>
    <row r="3135" spans="1:6" x14ac:dyDescent="0.4">
      <c r="A3135" s="4">
        <v>2741.4400249999999</v>
      </c>
      <c r="B3135" s="4">
        <v>1.3779967</v>
      </c>
      <c r="C3135" s="4">
        <v>1.4140557</v>
      </c>
      <c r="D3135" s="4">
        <v>-30.948910999999999</v>
      </c>
      <c r="E3135" s="4">
        <f>(((((((((-30.4440939/(10/9))+-10.5)+-0.4)*0.98)*1.11)*0.85)-6.5)+3.2)+-0.3)+0.3</f>
        <v>-38.713037288481303</v>
      </c>
      <c r="F3135" s="4">
        <f>((-1.3057787*(1.3/1.5))*0.6)-0.3</f>
        <v>-0.97900492400000005</v>
      </c>
    </row>
    <row r="3136" spans="1:6" x14ac:dyDescent="0.4">
      <c r="A3136" s="4">
        <v>2742.3149500000004</v>
      </c>
      <c r="B3136" s="4">
        <v>1.3780197999999999</v>
      </c>
      <c r="C3136" s="4">
        <v>1.4145017</v>
      </c>
      <c r="D3136" s="4">
        <v>-30.946241000000001</v>
      </c>
      <c r="E3136" s="4">
        <f>(((((((((-30.4584003/(10/9))+-10.5)+-0.4)*0.98)*1.11)*0.85)-6.5)+3.2)+-0.3)+0.3</f>
        <v>-38.724942602450092</v>
      </c>
      <c r="F3136" s="4">
        <f>((-1.3059163*(1.3/1.5))*0.6)-0.3</f>
        <v>-0.97907647599999992</v>
      </c>
    </row>
    <row r="3137" spans="1:6" x14ac:dyDescent="0.4">
      <c r="A3137" s="4">
        <v>2743.189875</v>
      </c>
      <c r="B3137" s="4">
        <v>1.3782380999999999</v>
      </c>
      <c r="C3137" s="4">
        <v>1.414391</v>
      </c>
      <c r="D3137" s="4">
        <v>-30.943231000000001</v>
      </c>
      <c r="E3137" s="4">
        <f>(((((((((-30.4323894/(10/9))+-10.5)+-0.4)*0.98)*1.11)*0.85)-6.5)+3.2)+-0.3)+0.3</f>
        <v>-38.703297189829797</v>
      </c>
      <c r="F3137" s="4">
        <f>((-1.3059915*(1.3/1.5))*0.6)-0.3</f>
        <v>-0.97911557999999999</v>
      </c>
    </row>
    <row r="3138" spans="1:6" x14ac:dyDescent="0.4">
      <c r="A3138" s="4">
        <v>2744.0647999999997</v>
      </c>
      <c r="B3138" s="4">
        <v>1.3784498999999999</v>
      </c>
      <c r="C3138" s="4">
        <v>1.4147234</v>
      </c>
      <c r="D3138" s="4">
        <v>-30.940770000000001</v>
      </c>
      <c r="E3138" s="4">
        <f>(((((((((-30.4628184/(10/9))+-10.5)+-0.4)*0.98)*1.11)*0.85)-6.5)+3.2)+-0.3)+0.3</f>
        <v>-38.728619199472796</v>
      </c>
      <c r="F3138" s="4">
        <f>((-1.3059077*(1.3/1.5))*0.6)-0.3</f>
        <v>-0.97907200399999983</v>
      </c>
    </row>
    <row r="3139" spans="1:6" x14ac:dyDescent="0.4">
      <c r="A3139" s="4">
        <v>2744.9397250000002</v>
      </c>
      <c r="B3139" s="4">
        <v>1.3784281</v>
      </c>
      <c r="C3139" s="4">
        <v>1.4142939999999999</v>
      </c>
      <c r="D3139" s="4">
        <v>-30.937967</v>
      </c>
      <c r="E3139" s="4">
        <f>(((((((((-30.4508466/(10/9))+-10.5)+-0.4)*0.98)*1.11)*0.85)-6.5)+3.2)+-0.3)+0.3</f>
        <v>-38.718656662582198</v>
      </c>
      <c r="F3139" s="4">
        <f>((-1.3056885*(1.3/1.5))*0.6)-0.3</f>
        <v>-0.97895801999999987</v>
      </c>
    </row>
    <row r="3140" spans="1:6" x14ac:dyDescent="0.4">
      <c r="A3140" s="4">
        <v>2745.8146499999998</v>
      </c>
      <c r="B3140" s="4">
        <v>1.3784624000000001</v>
      </c>
      <c r="C3140" s="4">
        <v>1.4144222</v>
      </c>
      <c r="D3140" s="4">
        <v>-30.935732999999999</v>
      </c>
      <c r="E3140" s="4">
        <f>(((((((((-30.4814367/(10/9))+-10.5)+-0.4)*0.98)*1.11)*0.85)-6.5)+3.2)+-0.3)+0.3</f>
        <v>-38.744112734328894</v>
      </c>
      <c r="F3140" s="4">
        <f>((-1.3053645*(1.3/1.5))*0.6)-0.3</f>
        <v>-0.97878953999999996</v>
      </c>
    </row>
    <row r="3141" spans="1:6" x14ac:dyDescent="0.4">
      <c r="A3141" s="4">
        <v>2746.6895750000003</v>
      </c>
      <c r="B3141" s="4">
        <v>1.3788491</v>
      </c>
      <c r="C3141" s="4">
        <v>1.4144452999999999</v>
      </c>
      <c r="D3141" s="4">
        <v>-30.933609999999998</v>
      </c>
      <c r="E3141" s="4">
        <f>(((((((((-30.4787691/(10/9))+-10.5)+-0.4)*0.98)*1.11)*0.85)-6.5)+3.2)+-0.3)+0.3</f>
        <v>-38.741892845639697</v>
      </c>
      <c r="F3141" s="4">
        <f>((-1.3049811*(1.3/1.5))*0.6)-0.3</f>
        <v>-0.97859017200000009</v>
      </c>
    </row>
    <row r="3142" spans="1:6" x14ac:dyDescent="0.4">
      <c r="A3142" s="4">
        <v>2747.5645</v>
      </c>
      <c r="B3142" s="4">
        <v>1.3790268999999999</v>
      </c>
      <c r="C3142" s="4">
        <v>1.4145384999999999</v>
      </c>
      <c r="D3142" s="4">
        <v>-30.931654999999999</v>
      </c>
      <c r="E3142" s="4">
        <f>(((((((((-30.4743339/(10/9))+-10.5)+-0.4)*0.98)*1.11)*0.85)-6.5)+3.2)+-0.3)+0.3</f>
        <v>-38.738202018561296</v>
      </c>
      <c r="F3142" s="4">
        <f>((-1.3044796*(1.3/1.5))*0.6)-0.3</f>
        <v>-0.97832939200000002</v>
      </c>
    </row>
    <row r="3143" spans="1:6" x14ac:dyDescent="0.4">
      <c r="A3143" s="4">
        <v>2748.439425</v>
      </c>
      <c r="B3143" s="4">
        <v>1.3788241000000001</v>
      </c>
      <c r="C3143" s="4">
        <v>1.4148012000000001</v>
      </c>
      <c r="D3143" s="4">
        <v>-30.929769</v>
      </c>
      <c r="E3143" s="4">
        <f>(((((((((-30.4515234/(10/9))+-10.5)+-0.4)*0.98)*1.11)*0.85)-6.5)+3.2)+-0.3)+0.3</f>
        <v>-38.719219873207791</v>
      </c>
      <c r="F3143" s="4">
        <f>((-1.3038945*(1.3/1.5))*0.6)-0.3</f>
        <v>-0.97802513999999996</v>
      </c>
    </row>
    <row r="3144" spans="1:6" x14ac:dyDescent="0.4">
      <c r="A3144" s="4">
        <v>2749.3143500000001</v>
      </c>
      <c r="B3144" s="4">
        <v>1.3790370000000001</v>
      </c>
      <c r="C3144" s="4">
        <v>1.4149795999999999</v>
      </c>
      <c r="D3144" s="4">
        <v>-30.928625999999998</v>
      </c>
      <c r="E3144" s="4">
        <f>(((((((((-30.4612803/(10/9))+-10.5)+-0.4)*0.98)*1.11)*0.85)-6.5)+3.2)+-0.3)+0.3</f>
        <v>-38.727339243410086</v>
      </c>
      <c r="F3144" s="4">
        <f>((-1.3032377*(1.3/1.5))*0.6)-0.3</f>
        <v>-0.97768360399999987</v>
      </c>
    </row>
    <row r="3145" spans="1:6" x14ac:dyDescent="0.4">
      <c r="A3145" s="4">
        <v>2750.1892749999997</v>
      </c>
      <c r="B3145" s="4">
        <v>1.3793312</v>
      </c>
      <c r="C3145" s="4">
        <v>1.4149327</v>
      </c>
      <c r="D3145" s="4">
        <v>-30.927309999999999</v>
      </c>
      <c r="E3145" s="4">
        <f>(((((((((-30.456855/(10/9))+-10.5)+-0.4)*0.98)*1.11)*0.85)-6.5)+3.2)+-0.3)+0.3</f>
        <v>-38.723656654784996</v>
      </c>
      <c r="F3145" s="4">
        <f>((-1.3024963*(1.3/1.5))*0.6)-0.3</f>
        <v>-0.97729807600000007</v>
      </c>
    </row>
    <row r="3146" spans="1:6" x14ac:dyDescent="0.4">
      <c r="A3146" s="4">
        <v>2751.0642000000003</v>
      </c>
      <c r="B3146" s="4">
        <v>1.3792574</v>
      </c>
      <c r="C3146" s="4">
        <v>1.4149398</v>
      </c>
      <c r="D3146" s="4">
        <v>-30.926783999999998</v>
      </c>
      <c r="E3146" s="4">
        <f>(((((((((-30.4521003/(10/9))+-10.5)+-0.4)*0.98)*1.11)*0.85)-6.5)+3.2)+-0.3)+0.3</f>
        <v>-38.719699950350105</v>
      </c>
      <c r="F3146" s="4">
        <f>((-1.3016624*(1.3/1.5))*0.6)-0.3</f>
        <v>-0.97686444800000016</v>
      </c>
    </row>
    <row r="3147" spans="1:6" x14ac:dyDescent="0.4">
      <c r="A3147" s="4">
        <v>2751.9391249999999</v>
      </c>
      <c r="B3147" s="4">
        <v>1.3791846000000001</v>
      </c>
      <c r="C3147" s="4">
        <v>1.4147997000000001</v>
      </c>
      <c r="D3147" s="4">
        <v>-30.926012999999998</v>
      </c>
      <c r="E3147" s="4">
        <f>(((((((((-30.4776297/(10/9))+-10.5)+-0.4)*0.98)*1.11)*0.85)-6.5)+3.2)+-0.3)+0.3</f>
        <v>-38.740944674559898</v>
      </c>
      <c r="F3147" s="4">
        <f>((-1.3006488*(1.3/1.5))*0.6)-0.3</f>
        <v>-0.97633737600000003</v>
      </c>
    </row>
    <row r="3148" spans="1:6" x14ac:dyDescent="0.4">
      <c r="A3148" s="4">
        <v>2752.81405</v>
      </c>
      <c r="B3148" s="4">
        <v>1.3794107</v>
      </c>
      <c r="C3148" s="4">
        <v>1.4149395</v>
      </c>
      <c r="D3148" s="4">
        <v>-30.924917999999998</v>
      </c>
      <c r="E3148" s="4">
        <f>(((((((((-30.4743645/(10/9))+-10.5)+-0.4)*0.98)*1.11)*0.85)-6.5)+3.2)+-0.3)+0.3</f>
        <v>-38.738227482871501</v>
      </c>
      <c r="F3148" s="4">
        <f>((-1.2995301*(1.3/1.5))*0.6)-0.3</f>
        <v>-0.97575565199999992</v>
      </c>
    </row>
    <row r="3149" spans="1:6" x14ac:dyDescent="0.4">
      <c r="A3149" s="4">
        <v>2753.688975</v>
      </c>
      <c r="B3149" s="4">
        <v>1.3795405999999999</v>
      </c>
      <c r="C3149" s="4">
        <v>1.4150955999999999</v>
      </c>
      <c r="D3149" s="4">
        <v>-30.924305999999998</v>
      </c>
      <c r="E3149" s="4">
        <f>(((((((((-30.4902945/(10/9))+-10.5)+-0.4)*0.98)*1.11)*0.85)-6.5)+3.2)+-0.3)+0.3</f>
        <v>-38.751483903181494</v>
      </c>
      <c r="F3149" s="4">
        <f>((-1.2983488*(1.3/1.5))*0.6)-0.3</f>
        <v>-0.97514137600000006</v>
      </c>
    </row>
    <row r="3150" spans="1:6" x14ac:dyDescent="0.4">
      <c r="A3150" s="4">
        <v>2754.5639000000001</v>
      </c>
      <c r="B3150" s="4">
        <v>1.3801219</v>
      </c>
      <c r="C3150" s="4">
        <v>1.4153073</v>
      </c>
      <c r="D3150" s="4">
        <v>-30.924137999999999</v>
      </c>
      <c r="E3150" s="4">
        <f>(((((((((-30.4586811/(10/9))+-10.5)+-0.4)*0.98)*1.11)*0.85)-6.5)+3.2)+-0.3)+0.3</f>
        <v>-38.725176274943699</v>
      </c>
      <c r="F3150" s="4">
        <f>((-1.29715*(1.3/1.5))*0.6)-0.3</f>
        <v>-0.974518</v>
      </c>
    </row>
    <row r="3151" spans="1:6" x14ac:dyDescent="0.4">
      <c r="A3151" s="4">
        <v>2755.4388250000002</v>
      </c>
      <c r="B3151" s="4">
        <v>1.3800048</v>
      </c>
      <c r="C3151" s="4">
        <v>1.4152988</v>
      </c>
      <c r="D3151" s="4">
        <v>-30.923712999999999</v>
      </c>
      <c r="E3151" s="4">
        <f>(((((((((-30.464487/(10/9))+-10.5)+-0.4)*0.98)*1.11)*0.85)-6.5)+3.2)+-0.3)+0.3</f>
        <v>-38.730007753328991</v>
      </c>
      <c r="F3151" s="4">
        <f>((-1.2958786*(1.3/1.5))*0.6)-0.3</f>
        <v>-0.97385687200000004</v>
      </c>
    </row>
    <row r="3152" spans="1:6" x14ac:dyDescent="0.4">
      <c r="A3152" s="4">
        <v>2756.3137499999998</v>
      </c>
      <c r="B3152" s="4">
        <v>1.3799155000000001</v>
      </c>
      <c r="C3152" s="4">
        <v>1.4151609999999999</v>
      </c>
      <c r="D3152" s="4">
        <v>-30.923863999999998</v>
      </c>
      <c r="E3152" s="4">
        <f>(((((((((-30.4578369/(10/9))+-10.5)+-0.4)*0.98)*1.11)*0.85)-6.5)+3.2)+-0.3)+0.3</f>
        <v>-38.724473759562294</v>
      </c>
      <c r="F3152" s="4">
        <f>((-1.2945528*(1.3/1.5))*0.6)-0.3</f>
        <v>-0.97316745599999988</v>
      </c>
    </row>
    <row r="3153" spans="1:6" x14ac:dyDescent="0.4">
      <c r="A3153" s="4">
        <v>2757.1886749999999</v>
      </c>
      <c r="B3153" s="4">
        <v>1.3800399999999999</v>
      </c>
      <c r="C3153" s="4">
        <v>1.4151742</v>
      </c>
      <c r="D3153" s="4">
        <v>-30.924282999999999</v>
      </c>
      <c r="E3153" s="4">
        <f>(((((((((-30.4452333/(10/9))+-10.5)+-0.4)*0.98)*1.11)*0.85)-6.5)+3.2)+-0.3)+0.3</f>
        <v>-38.713985459561101</v>
      </c>
      <c r="F3153" s="4">
        <f>((-1.2931265*(1.3/1.5))*0.6)-0.3</f>
        <v>-0.97242578000000002</v>
      </c>
    </row>
    <row r="3154" spans="1:6" x14ac:dyDescent="0.4">
      <c r="A3154" s="4">
        <v>2758.0636</v>
      </c>
      <c r="B3154" s="4">
        <v>1.380188</v>
      </c>
      <c r="C3154" s="4">
        <v>1.4152349</v>
      </c>
      <c r="D3154" s="4">
        <v>-30.924592000000001</v>
      </c>
      <c r="E3154" s="4">
        <f>(((((((((-30.4340382/(10/9))+-10.5)+-0.4)*0.98)*1.11)*0.85)-6.5)+3.2)+-0.3)+0.3</f>
        <v>-38.704669266779391</v>
      </c>
      <c r="F3154" s="4">
        <f>((-1.2916676*(1.3/1.5))*0.6)-0.3</f>
        <v>-0.97166715199999998</v>
      </c>
    </row>
    <row r="3155" spans="1:6" x14ac:dyDescent="0.4">
      <c r="A3155" s="4">
        <v>2758.938525</v>
      </c>
      <c r="B3155" s="4">
        <v>1.3802843</v>
      </c>
      <c r="C3155" s="4">
        <v>1.4152317999999999</v>
      </c>
      <c r="D3155" s="4">
        <v>-30.925335999999998</v>
      </c>
      <c r="E3155" s="4">
        <f>(((((((((-30.4513209/(10/9))+-10.5)+-0.4)*0.98)*1.11)*0.85)-6.5)+3.2)+-0.3)+0.3</f>
        <v>-38.719051359390299</v>
      </c>
      <c r="F3155" s="4">
        <f>((-1.2901375*(1.3/1.5))*0.6)-0.3</f>
        <v>-0.97087149999999989</v>
      </c>
    </row>
    <row r="3156" spans="1:6" x14ac:dyDescent="0.4">
      <c r="A3156" s="4">
        <v>2759.8134500000001</v>
      </c>
      <c r="B3156" s="4">
        <v>1.3801405</v>
      </c>
      <c r="C3156" s="4">
        <v>1.4153775</v>
      </c>
      <c r="D3156" s="4">
        <v>-30.926219</v>
      </c>
      <c r="E3156" s="4">
        <f>(((((((((-30.4502463/(10/9))+-10.5)+-0.4)*0.98)*1.11)*0.85)-6.5)+3.2)+-0.3)+0.3</f>
        <v>-38.718157112732101</v>
      </c>
      <c r="F3156" s="4">
        <f>((-1.2885979*(1.3/1.5))*0.6)-0.3</f>
        <v>-0.97007090800000007</v>
      </c>
    </row>
    <row r="3157" spans="1:6" x14ac:dyDescent="0.4">
      <c r="A3157" s="4">
        <v>2760.6883750000002</v>
      </c>
      <c r="B3157" s="4">
        <v>1.3805666000000001</v>
      </c>
      <c r="C3157" s="4">
        <v>1.4154462000000001</v>
      </c>
      <c r="D3157" s="4">
        <v>-30.927721999999999</v>
      </c>
      <c r="E3157" s="4">
        <f>(((((((((-30.4714602/(10/9))+-10.5)+-0.4)*0.98)*1.11)*0.85)-6.5)+3.2)+-0.3)+0.3</f>
        <v>-38.735810620253389</v>
      </c>
      <c r="F3157" s="4">
        <f>((-1.2870821*(1.3/1.5))*0.6)-0.3</f>
        <v>-0.96928269199999995</v>
      </c>
    </row>
    <row r="3158" spans="1:6" x14ac:dyDescent="0.4">
      <c r="A3158" s="4">
        <v>2761.5632999999998</v>
      </c>
      <c r="B3158" s="4">
        <v>1.3803909999999999</v>
      </c>
      <c r="C3158" s="4">
        <v>1.4156674</v>
      </c>
      <c r="D3158" s="4">
        <v>-30.92897</v>
      </c>
      <c r="E3158" s="4">
        <f>(((((((((-30.4388136/(10/9))+-10.5)+-0.4)*0.98)*1.11)*0.85)-6.5)+3.2)+-0.3)+0.3</f>
        <v>-38.708643197071197</v>
      </c>
      <c r="F3158" s="4">
        <f>((-1.2855974*(1.3/1.5))*0.6)-0.3</f>
        <v>-0.96851064799999986</v>
      </c>
    </row>
    <row r="3159" spans="1:6" x14ac:dyDescent="0.4">
      <c r="A3159" s="4">
        <v>2762.4382249999999</v>
      </c>
      <c r="B3159" s="4">
        <v>1.3807939</v>
      </c>
      <c r="C3159" s="4">
        <v>1.4157747000000001</v>
      </c>
      <c r="D3159" s="4">
        <v>-30.931134</v>
      </c>
      <c r="E3159" s="4">
        <f>(((((((((-30.4251975/(10/9))+-10.5)+-0.4)*0.98)*1.11)*0.85)-6.5)+3.2)+-0.3)+0.3</f>
        <v>-38.697312327982495</v>
      </c>
      <c r="F3159" s="4">
        <f>((-1.2840722*(1.3/1.5))*0.6)-0.3</f>
        <v>-0.96771754399999987</v>
      </c>
    </row>
    <row r="3160" spans="1:6" x14ac:dyDescent="0.4">
      <c r="A3160" s="4">
        <v>2763.31315</v>
      </c>
      <c r="B3160" s="4">
        <v>1.3807178</v>
      </c>
      <c r="C3160" s="4">
        <v>1.4157925</v>
      </c>
      <c r="D3160" s="4">
        <v>-30.933087999999998</v>
      </c>
      <c r="E3160" s="4">
        <f>(((((((((-30.4490925/(10/9))+-10.5)+-0.4)*0.98)*1.11)*0.85)-6.5)+3.2)+-0.3)+0.3</f>
        <v>-38.717196958447495</v>
      </c>
      <c r="F3160" s="4">
        <f>((-1.2826029*(1.3/1.5))*0.6)-0.3</f>
        <v>-0.96695350800000002</v>
      </c>
    </row>
    <row r="3161" spans="1:6" x14ac:dyDescent="0.4">
      <c r="A3161" s="4">
        <v>2764.188075</v>
      </c>
      <c r="B3161" s="4">
        <v>1.3808689000000001</v>
      </c>
      <c r="C3161" s="4">
        <v>1.4158858000000001</v>
      </c>
      <c r="D3161" s="4">
        <v>-30.935662000000001</v>
      </c>
      <c r="E3161" s="4">
        <f>(((((((((-30.4538643/(10/9))+-10.5)+-0.4)*0.98)*1.11)*0.85)-6.5)+3.2)+-0.3)+0.3</f>
        <v>-38.721167892938098</v>
      </c>
      <c r="F3161" s="4">
        <f>((-1.2811346*(1.3/1.5))*0.6)-0.3</f>
        <v>-0.96618999199999989</v>
      </c>
    </row>
    <row r="3162" spans="1:6" x14ac:dyDescent="0.4">
      <c r="A3162" s="4">
        <v>2765.0630000000001</v>
      </c>
      <c r="B3162" s="4">
        <v>1.3810868999999999</v>
      </c>
      <c r="C3162" s="4">
        <v>1.4157598</v>
      </c>
      <c r="D3162" s="4">
        <v>-30.937695999999999</v>
      </c>
      <c r="E3162" s="4">
        <f>(((((((((-30.4255917/(10/9))+-10.5)+-0.4)*0.98)*1.11)*0.85)-6.5)+3.2)+-0.3)+0.3</f>
        <v>-38.697640368213897</v>
      </c>
      <c r="F3162" s="4">
        <f>((-1.2796853*(1.3/1.5))*0.6)-0.3</f>
        <v>-0.96543635599999988</v>
      </c>
    </row>
    <row r="3163" spans="1:6" x14ac:dyDescent="0.4">
      <c r="A3163" s="4">
        <v>2765.9379249999997</v>
      </c>
      <c r="B3163" s="4">
        <v>1.3811122</v>
      </c>
      <c r="C3163" s="4">
        <v>1.4160857</v>
      </c>
      <c r="D3163" s="4">
        <v>-30.939985999999998</v>
      </c>
      <c r="E3163" s="4">
        <f>(((((((((-30.4382673/(10/9))+-10.5)+-0.4)*0.98)*1.11)*0.85)-6.5)+3.2)+-0.3)+0.3</f>
        <v>-38.708188584239096</v>
      </c>
      <c r="F3163" s="4">
        <f>((-1.2781751*(1.3/1.5))*0.6)-0.3</f>
        <v>-0.96465105199999979</v>
      </c>
    </row>
    <row r="3164" spans="1:6" x14ac:dyDescent="0.4">
      <c r="A3164" s="4">
        <v>2766.8128500000003</v>
      </c>
      <c r="B3164" s="4">
        <v>1.3812419</v>
      </c>
      <c r="C3164" s="4">
        <v>1.4160702999999999</v>
      </c>
      <c r="D3164" s="4">
        <v>-30.942349999999998</v>
      </c>
      <c r="E3164" s="4">
        <f>(((((((((-30.4438023/(10/9))+-10.5)+-0.4)*0.98)*1.11)*0.85)-6.5)+3.2)+-0.3)+0.3</f>
        <v>-38.712794628584099</v>
      </c>
      <c r="F3164" s="4">
        <f>((-1.2767864*(1.3/1.5))*0.6)-0.3</f>
        <v>-0.96392892799999985</v>
      </c>
    </row>
    <row r="3165" spans="1:6" x14ac:dyDescent="0.4">
      <c r="A3165" s="4">
        <v>2767.6877749999999</v>
      </c>
      <c r="B3165" s="4">
        <v>1.3814355</v>
      </c>
      <c r="C3165" s="4">
        <v>1.4162527</v>
      </c>
      <c r="D3165" s="4">
        <v>-30.945235</v>
      </c>
      <c r="E3165" s="4">
        <f>(((((((((-30.4252965/(10/9))+-10.5)+-0.4)*0.98)*1.11)*0.85)-6.5)+3.2)+-0.3)+0.3</f>
        <v>-38.697394712515496</v>
      </c>
      <c r="F3165" s="4">
        <f>((-1.2755135*(1.3/1.5))*0.6)-0.3</f>
        <v>-0.96326701999999997</v>
      </c>
    </row>
    <row r="3166" spans="1:6" x14ac:dyDescent="0.4">
      <c r="A3166" s="4">
        <v>2768.5627000000004</v>
      </c>
      <c r="B3166" s="4">
        <v>1.3813652999999999</v>
      </c>
      <c r="C3166" s="4">
        <v>1.4161653999999999</v>
      </c>
      <c r="D3166" s="4">
        <v>-30.947804999999999</v>
      </c>
      <c r="E3166" s="4">
        <f>(((((((((-30.4530615/(10/9))+-10.5)+-0.4)*0.98)*1.11)*0.85)-6.5)+3.2)+-0.3)+0.3</f>
        <v>-38.720499829270501</v>
      </c>
      <c r="F3166" s="4">
        <f>((-1.2742057*(1.3/1.5))*0.6)-0.3</f>
        <v>-0.96258696399999999</v>
      </c>
    </row>
    <row r="3167" spans="1:6" x14ac:dyDescent="0.4">
      <c r="A3167" s="4">
        <v>2769.437625</v>
      </c>
      <c r="B3167" s="4">
        <v>1.3815188</v>
      </c>
      <c r="C3167" s="4">
        <v>1.4161949</v>
      </c>
      <c r="D3167" s="4">
        <v>-30.951077999999999</v>
      </c>
      <c r="E3167" s="4">
        <f>(((((((((-30.4159995/(10/9))+-10.5)+-0.4)*0.98)*1.11)*0.85)-6.5)+3.2)+-0.3)+0.3</f>
        <v>-38.689658055916496</v>
      </c>
      <c r="F3167" s="4">
        <f>((-1.2729759*(1.3/1.5))*0.6)-0.3</f>
        <v>-0.96194746799999997</v>
      </c>
    </row>
    <row r="3168" spans="1:6" x14ac:dyDescent="0.4">
      <c r="A3168" s="4">
        <v>2770.3125499999996</v>
      </c>
      <c r="B3168" s="4">
        <v>1.3813447000000001</v>
      </c>
      <c r="C3168" s="4">
        <v>1.4159938999999999</v>
      </c>
      <c r="D3168" s="4">
        <v>-30.954038000000001</v>
      </c>
      <c r="E3168" s="4">
        <f>(((((((((-30.4042302/(10/9))+-10.5)+-0.4)*0.98)*1.11)*0.85)-6.5)+3.2)+-0.3)+0.3</f>
        <v>-38.679864032843398</v>
      </c>
      <c r="F3168" s="4">
        <f>((-1.2718477*(1.3/1.5))*0.6)-0.3</f>
        <v>-0.9613608039999999</v>
      </c>
    </row>
    <row r="3169" spans="1:6" x14ac:dyDescent="0.4">
      <c r="A3169" s="4">
        <v>2771.1874750000002</v>
      </c>
      <c r="B3169" s="4">
        <v>1.3814316</v>
      </c>
      <c r="C3169" s="4">
        <v>1.4160485</v>
      </c>
      <c r="D3169" s="4">
        <v>-30.957266999999998</v>
      </c>
      <c r="E3169" s="4">
        <f>(((((((((-30.4347105/(10/9))+-10.5)+-0.4)*0.98)*1.11)*0.85)-6.5)+3.2)+-0.3)+0.3</f>
        <v>-38.705228732653495</v>
      </c>
      <c r="F3169" s="4">
        <f>((-1.2707233*(1.3/1.5))*0.6)-0.3</f>
        <v>-0.96077611600000012</v>
      </c>
    </row>
    <row r="3170" spans="1:6" x14ac:dyDescent="0.4">
      <c r="A3170" s="4">
        <v>2772.0623999999998</v>
      </c>
      <c r="B3170" s="4">
        <v>1.3814504999999999</v>
      </c>
      <c r="C3170" s="4">
        <v>1.4159406000000001</v>
      </c>
      <c r="D3170" s="4">
        <v>-30.960666</v>
      </c>
      <c r="E3170" s="4">
        <f>(((((((((-30.4242363/(10/9))+-10.5)+-0.4)*0.98)*1.11)*0.85)-6.5)+3.2)+-0.3)+0.3</f>
        <v>-38.696512449062098</v>
      </c>
      <c r="F3170" s="4">
        <f>((-1.2696316*(1.3/1.5))*0.6)-0.3</f>
        <v>-0.96020843200000017</v>
      </c>
    </row>
    <row r="3171" spans="1:6" x14ac:dyDescent="0.4">
      <c r="A3171" s="4">
        <v>2772.9373250000003</v>
      </c>
      <c r="B3171" s="4">
        <v>1.3816135</v>
      </c>
      <c r="C3171" s="4">
        <v>1.4164329</v>
      </c>
      <c r="D3171" s="4">
        <v>-30.963812999999998</v>
      </c>
      <c r="E3171" s="4">
        <f>(((((((((-30.4319844/(10/9))+-10.5)+-0.4)*0.98)*1.11)*0.85)-6.5)+3.2)+-0.3)+0.3</f>
        <v>-38.702960162194799</v>
      </c>
      <c r="F3171" s="4">
        <f>((-1.2686727*(1.3/1.5))*0.6)-0.3</f>
        <v>-0.95970980400000006</v>
      </c>
    </row>
    <row r="3172" spans="1:6" x14ac:dyDescent="0.4">
      <c r="A3172" s="4">
        <v>2773.8122499999999</v>
      </c>
      <c r="B3172" s="4">
        <v>1.382226</v>
      </c>
      <c r="C3172" s="4">
        <v>1.4164833999999999</v>
      </c>
      <c r="D3172" s="4">
        <v>-30.967003999999999</v>
      </c>
      <c r="E3172" s="4">
        <f>(((((((((-30.3968286/(10/9))+-10.5)+-0.4)*0.98)*1.11)*0.85)-6.5)+3.2)+-0.3)+0.3</f>
        <v>-38.673704665576189</v>
      </c>
      <c r="F3172" s="4">
        <f>((-1.2677466*(1.3/1.5))*0.6)-0.3</f>
        <v>-0.95922823199999985</v>
      </c>
    </row>
    <row r="3173" spans="1:6" x14ac:dyDescent="0.4">
      <c r="A3173" s="4">
        <v>2774.687175</v>
      </c>
      <c r="B3173" s="4">
        <v>1.3821508</v>
      </c>
      <c r="C3173" s="4">
        <v>1.4167008000000001</v>
      </c>
      <c r="D3173" s="4">
        <v>-30.970323</v>
      </c>
      <c r="E3173" s="4">
        <f>(((((((((-30.4088004/(10/9))+-10.5)+-0.4)*0.98)*1.11)*0.85)-6.5)+3.2)+-0.3)+0.3</f>
        <v>-38.6836672024668</v>
      </c>
      <c r="F3173" s="4">
        <f>((-1.2668858*(1.3/1.5))*0.6)-0.3</f>
        <v>-0.95878061599999986</v>
      </c>
    </row>
    <row r="3174" spans="1:6" x14ac:dyDescent="0.4">
      <c r="A3174" s="4">
        <v>2775.5621000000001</v>
      </c>
      <c r="B3174" s="4">
        <v>1.3819877</v>
      </c>
      <c r="C3174" s="4">
        <v>1.4165124</v>
      </c>
      <c r="D3174" s="4">
        <v>-30.973620999999998</v>
      </c>
      <c r="E3174" s="4">
        <f>(((((((((-30.4098849/(10/9))+-10.5)+-0.4)*0.98)*1.11)*0.85)-6.5)+3.2)+-0.3)+0.3</f>
        <v>-38.684569687578303</v>
      </c>
      <c r="F3174" s="4">
        <f>((-1.2660824*(1.3/1.5))*0.6)-0.3</f>
        <v>-0.95836284799999993</v>
      </c>
    </row>
    <row r="3175" spans="1:6" x14ac:dyDescent="0.4">
      <c r="A3175" s="4">
        <v>2776.4370249999997</v>
      </c>
      <c r="B3175" s="4">
        <v>1.3821677000000001</v>
      </c>
      <c r="C3175" s="4">
        <v>1.4166194000000001</v>
      </c>
      <c r="D3175" s="4">
        <v>-30.977134</v>
      </c>
      <c r="E3175" s="4">
        <f>(((((((((-30.3865731/(10/9))+-10.5)+-0.4)*0.98)*1.11)*0.85)-6.5)+3.2)+-0.3)+0.3</f>
        <v>-38.665170376907696</v>
      </c>
      <c r="F3175" s="4">
        <f>((-1.2654766*(1.3/1.5))*0.6)-0.3</f>
        <v>-0.95804783199999988</v>
      </c>
    </row>
    <row r="3176" spans="1:6" x14ac:dyDescent="0.4">
      <c r="A3176" s="4">
        <v>2777.3119500000003</v>
      </c>
      <c r="B3176" s="4">
        <v>1.3821749999999999</v>
      </c>
      <c r="C3176" s="4">
        <v>1.416741</v>
      </c>
      <c r="D3176" s="4">
        <v>-30.980450999999999</v>
      </c>
      <c r="E3176" s="4">
        <f>(((((((((-30.3895809/(10/9))+-10.5)+-0.4)*0.98)*1.11)*0.85)-6.5)+3.2)+-0.3)+0.3</f>
        <v>-38.667673368810298</v>
      </c>
      <c r="F3176" s="4">
        <f>((-1.2650383*(1.3/1.5))*0.6)-0.3</f>
        <v>-0.95781991600000005</v>
      </c>
    </row>
    <row r="3177" spans="1:6" x14ac:dyDescent="0.4">
      <c r="A3177" s="4">
        <v>2778.1868749999999</v>
      </c>
      <c r="B3177" s="4">
        <v>1.3822844000000001</v>
      </c>
      <c r="C3177" s="4">
        <v>1.4166448</v>
      </c>
      <c r="D3177" s="4">
        <v>-30.983761999999999</v>
      </c>
      <c r="E3177" s="4">
        <f>(((((((((-30.4034103/(10/9))+-10.5)+-0.4)*0.98)*1.11)*0.85)-6.5)+3.2)+-0.3)+0.3</f>
        <v>-38.679181739120089</v>
      </c>
      <c r="F3177" s="4">
        <f>((-1.2647138*(1.3/1.5))*0.6)-0.3</f>
        <v>-0.95765117599999994</v>
      </c>
    </row>
    <row r="3178" spans="1:6" x14ac:dyDescent="0.4">
      <c r="A3178" s="4">
        <v>2779.0617999999999</v>
      </c>
      <c r="B3178" s="4">
        <v>1.3826974999999999</v>
      </c>
      <c r="C3178" s="4">
        <v>1.4169312999999999</v>
      </c>
      <c r="D3178" s="4">
        <v>-30.986545</v>
      </c>
      <c r="E3178" s="4">
        <f>(((((((((-30.3979716/(10/9))+-10.5)+-0.4)*0.98)*1.11)*0.85)-6.5)+3.2)+-0.3)+0.3</f>
        <v>-38.674655832457198</v>
      </c>
      <c r="F3178" s="4">
        <f>((-1.264446*(1.3/1.5))*0.6)-0.3</f>
        <v>-0.95751191999999996</v>
      </c>
    </row>
    <row r="3179" spans="1:6" x14ac:dyDescent="0.4">
      <c r="A3179" s="4">
        <v>2779.936725</v>
      </c>
      <c r="B3179" s="4">
        <v>1.3827822000000001</v>
      </c>
      <c r="C3179" s="4">
        <v>1.4168495000000001</v>
      </c>
      <c r="D3179" s="4">
        <v>-30.989456999999998</v>
      </c>
      <c r="E3179" s="4">
        <f>(((((((((-30.4082505/(10/9))+-10.5)+-0.4)*0.98)*1.11)*0.85)-6.5)+3.2)+-0.3)+0.3</f>
        <v>-38.683209593833503</v>
      </c>
      <c r="F3179" s="4">
        <f>((-1.2642689*(1.3/1.5))*0.6)-0.3</f>
        <v>-0.95741982800000014</v>
      </c>
    </row>
    <row r="3180" spans="1:6" x14ac:dyDescent="0.4">
      <c r="A3180" s="4">
        <v>2780.8116500000001</v>
      </c>
      <c r="B3180" s="4">
        <v>1.3828218999999999</v>
      </c>
      <c r="C3180" s="4">
        <v>1.4169954</v>
      </c>
      <c r="D3180" s="4">
        <v>-30.992487999999998</v>
      </c>
      <c r="E3180" s="4">
        <f>(((((((((-30.4182486/(10/9))+-10.5)+-0.4)*0.98)*1.11)*0.85)-6.5)+3.2)+-0.3)+0.3</f>
        <v>-38.691529682716194</v>
      </c>
      <c r="F3180" s="4">
        <f>((-1.2641859*(1.3/1.5))*0.6)-0.3</f>
        <v>-0.95737666799999999</v>
      </c>
    </row>
    <row r="3181" spans="1:6" x14ac:dyDescent="0.4">
      <c r="A3181" s="4">
        <v>2781.6865750000002</v>
      </c>
      <c r="B3181" s="4">
        <v>1.3830332000000001</v>
      </c>
      <c r="C3181" s="4">
        <v>1.4172084</v>
      </c>
      <c r="D3181" s="4">
        <v>-30.9955</v>
      </c>
      <c r="E3181" s="4">
        <f>(((((((((-30.3653736/(10/9))+-10.5)+-0.4)*0.98)*1.11)*0.85)-6.5)+3.2)+-0.3)+0.3</f>
        <v>-38.647528852591201</v>
      </c>
      <c r="F3181" s="4">
        <f>((-1.2642719*(1.3/1.5))*0.6)-0.3</f>
        <v>-0.95742138799999998</v>
      </c>
    </row>
    <row r="3182" spans="1:6" x14ac:dyDescent="0.4">
      <c r="A3182" s="4">
        <v>2782.5614999999998</v>
      </c>
      <c r="B3182" s="4">
        <v>1.3831412999999999</v>
      </c>
      <c r="C3182" s="4">
        <v>1.4174019</v>
      </c>
      <c r="D3182" s="4">
        <v>-30.998352999999998</v>
      </c>
      <c r="E3182" s="4">
        <f>(((((((((-30.3572745/(10/9))+-10.5)+-0.4)*0.98)*1.11)*0.85)-6.5)+3.2)+-0.3)+0.3</f>
        <v>-38.640789048841498</v>
      </c>
      <c r="F3182" s="4">
        <f>((-1.2644203*(1.3/1.5))*0.6)-0.3</f>
        <v>-0.957498556</v>
      </c>
    </row>
    <row r="3183" spans="1:6" x14ac:dyDescent="0.4">
      <c r="A3183" s="4">
        <v>2783.4364249999999</v>
      </c>
      <c r="B3183" s="4">
        <v>1.3830153999999999</v>
      </c>
      <c r="C3183" s="4">
        <v>1.4172547</v>
      </c>
      <c r="D3183" s="4">
        <v>-31.001082999999998</v>
      </c>
      <c r="E3183" s="4">
        <f>(((((((((-30.3605289/(10/9))+-10.5)+-0.4)*0.98)*1.11)*0.85)-6.5)+3.2)+-0.3)+0.3</f>
        <v>-38.643497253126291</v>
      </c>
      <c r="F3183" s="4">
        <f>((-1.2646679*(1.3/1.5))*0.6)-0.3</f>
        <v>-0.95762730799999995</v>
      </c>
    </row>
    <row r="3184" spans="1:6" x14ac:dyDescent="0.4">
      <c r="A3184" s="4">
        <v>2784.3113499999999</v>
      </c>
      <c r="B3184" s="4">
        <v>1.3829883000000001</v>
      </c>
      <c r="C3184" s="4">
        <v>1.4176203999999999</v>
      </c>
      <c r="D3184" s="4">
        <v>-31.003561999999999</v>
      </c>
      <c r="E3184" s="4">
        <f>(((((((((-30.3338943/(10/9))+-10.5)+-0.4)*0.98)*1.11)*0.85)-6.5)+3.2)+-0.3)+0.3</f>
        <v>-38.621332817948094</v>
      </c>
      <c r="F3184" s="4">
        <f>((-1.2650645*(1.3/1.5))*0.6)-0.3</f>
        <v>-0.95783353999999998</v>
      </c>
    </row>
    <row r="3185" spans="1:6" x14ac:dyDescent="0.4">
      <c r="A3185" s="4">
        <v>2785.186275</v>
      </c>
      <c r="B3185" s="4">
        <v>1.3829100000000001</v>
      </c>
      <c r="C3185" s="4">
        <v>1.4175264000000001</v>
      </c>
      <c r="D3185" s="4">
        <v>-31.005914000000001</v>
      </c>
      <c r="E3185" s="4">
        <f>(((((((((-30.352842/(10/9))+-10.5)+-0.4)*0.98)*1.11)*0.85)-6.5)+3.2)+-0.3)+0.3</f>
        <v>-38.637100468613994</v>
      </c>
      <c r="F3185" s="4">
        <f>((-1.2655849*(1.3/1.5))*0.6)-0.3</f>
        <v>-0.95810414799999988</v>
      </c>
    </row>
    <row r="3186" spans="1:6" x14ac:dyDescent="0.4">
      <c r="A3186" s="4">
        <v>2786.0612000000001</v>
      </c>
      <c r="B3186" s="4">
        <v>1.3833385</v>
      </c>
      <c r="C3186" s="4">
        <v>1.4176291000000001</v>
      </c>
      <c r="D3186" s="4">
        <v>-31.007524</v>
      </c>
      <c r="E3186" s="4">
        <f>(((((((((-30.3638589/(10/9))+-10.5)+-0.4)*0.98)*1.11)*0.85)-6.5)+3.2)+-0.3)+0.3</f>
        <v>-38.646268369236296</v>
      </c>
      <c r="F3186" s="4">
        <f>((-1.2661557*(1.3/1.5))*0.6)-0.3</f>
        <v>-0.95840096399999997</v>
      </c>
    </row>
    <row r="3187" spans="1:6" x14ac:dyDescent="0.4">
      <c r="A3187" s="4">
        <v>2786.9361250000002</v>
      </c>
      <c r="B3187" s="4">
        <v>1.3832012</v>
      </c>
      <c r="C3187" s="4">
        <v>1.4178894</v>
      </c>
      <c r="D3187" s="4">
        <v>-31.009211999999998</v>
      </c>
      <c r="E3187" s="4">
        <f>(((((((((-30.3510294/(10/9))+-10.5)+-0.4)*0.98)*1.11)*0.85)-6.5)+3.2)+-0.3)+0.3</f>
        <v>-38.635592082709799</v>
      </c>
      <c r="F3187" s="4">
        <f>((-1.2668685*(1.3/1.5))*0.6)-0.3</f>
        <v>-0.95877162000000005</v>
      </c>
    </row>
    <row r="3188" spans="1:6" x14ac:dyDescent="0.4">
      <c r="A3188" s="4">
        <v>2787.8110499999998</v>
      </c>
      <c r="B3188" s="4">
        <v>1.3832411</v>
      </c>
      <c r="C3188" s="4">
        <v>1.4178622000000001</v>
      </c>
      <c r="D3188" s="4">
        <v>-31.011409</v>
      </c>
      <c r="E3188" s="4">
        <f>(((((((((-30.3564915/(10/9))+-10.5)+-0.4)*0.98)*1.11)*0.85)-6.5)+3.2)+-0.3)+0.3</f>
        <v>-38.640137462080503</v>
      </c>
      <c r="F3188" s="4">
        <f>((-1.2677373*(1.3/1.5))*0.6)-0.3</f>
        <v>-0.95922339600000006</v>
      </c>
    </row>
    <row r="3189" spans="1:6" x14ac:dyDescent="0.4">
      <c r="A3189" s="4">
        <v>2788.6859749999999</v>
      </c>
      <c r="B3189" s="4">
        <v>1.3839220000000001</v>
      </c>
      <c r="C3189" s="4">
        <v>1.4180231000000001</v>
      </c>
      <c r="D3189" s="4">
        <v>-31.012794</v>
      </c>
      <c r="E3189" s="4">
        <f>(((((((((-30.3416118/(10/9))+-10.5)+-0.4)*0.98)*1.11)*0.85)-6.5)+3.2)+-0.3)+0.3</f>
        <v>-38.627755066770597</v>
      </c>
      <c r="F3189" s="4">
        <f>((-1.2688134*(1.3/1.5))*0.6)-0.3</f>
        <v>-0.95978296799999985</v>
      </c>
    </row>
    <row r="3190" spans="1:6" x14ac:dyDescent="0.4">
      <c r="A3190" s="4">
        <v>2789.5608999999999</v>
      </c>
      <c r="B3190" s="4">
        <v>1.3837619000000001</v>
      </c>
      <c r="C3190" s="4">
        <v>1.4181775000000001</v>
      </c>
      <c r="D3190" s="4">
        <v>-31.014243</v>
      </c>
      <c r="E3190" s="4">
        <f>(((((((((-30.3048486/(10/9))+-10.5)+-0.4)*0.98)*1.11)*0.85)-6.5)+3.2)+-0.3)+0.3</f>
        <v>-38.597161944916195</v>
      </c>
      <c r="F3190" s="4">
        <f>((-1.2699108*(1.3/1.5))*0.6)-0.3</f>
        <v>-0.96035361599999991</v>
      </c>
    </row>
    <row r="3191" spans="1:6" x14ac:dyDescent="0.4">
      <c r="A3191" s="4">
        <v>2790.435825</v>
      </c>
      <c r="B3191" s="4">
        <v>1.3836625</v>
      </c>
      <c r="C3191" s="4">
        <v>1.417853</v>
      </c>
      <c r="D3191" s="4">
        <v>-31.015433999999999</v>
      </c>
      <c r="E3191" s="4">
        <f>(((((((((-30.3233508/(10/9))+-10.5)+-0.4)*0.98)*1.11)*0.85)-6.5)+3.2)+-0.3)+0.3</f>
        <v>-38.612558865183594</v>
      </c>
      <c r="F3191" s="4">
        <f>((-1.2711071*(1.3/1.5))*0.6)-0.3</f>
        <v>-0.96097569199999988</v>
      </c>
    </row>
    <row r="3192" spans="1:6" x14ac:dyDescent="0.4">
      <c r="A3192" s="4">
        <v>2791.3107500000001</v>
      </c>
      <c r="B3192" s="4">
        <v>1.3838671</v>
      </c>
      <c r="C3192" s="4">
        <v>1.4180143999999999</v>
      </c>
      <c r="D3192" s="4">
        <v>-31.016448</v>
      </c>
      <c r="E3192" s="4">
        <f>(((((((((-30.3334236/(10/9))+-10.5)+-0.4)*0.98)*1.11)*0.85)-6.5)+3.2)+-0.3)+0.3</f>
        <v>-38.620941116941196</v>
      </c>
      <c r="F3192" s="4">
        <f>((-1.2724352*(1.3/1.5))*0.6)-0.3</f>
        <v>-0.96166630399999997</v>
      </c>
    </row>
    <row r="3193" spans="1:6" x14ac:dyDescent="0.4">
      <c r="A3193" s="4">
        <v>2792.1856749999997</v>
      </c>
      <c r="B3193" s="4">
        <v>1.3838325</v>
      </c>
      <c r="C3193" s="4">
        <v>1.4181182000000001</v>
      </c>
      <c r="D3193" s="4">
        <v>-31.017586999999999</v>
      </c>
      <c r="E3193" s="4">
        <f>(((((((((-30.3124743/(10/9))+-10.5)+-0.4)*0.98)*1.11)*0.85)-6.5)+3.2)+-0.3)+0.3</f>
        <v>-38.603507800808096</v>
      </c>
      <c r="F3193" s="4">
        <f>((-1.2739052*(1.3/1.5))*0.6)-0.3</f>
        <v>-0.96243070399999997</v>
      </c>
    </row>
    <row r="3194" spans="1:6" x14ac:dyDescent="0.4">
      <c r="A3194" s="4">
        <v>2793.0606000000002</v>
      </c>
      <c r="B3194" s="4">
        <v>1.3838995999999999</v>
      </c>
      <c r="C3194" s="4">
        <v>1.4183036</v>
      </c>
      <c r="D3194" s="4">
        <v>-31.018542</v>
      </c>
      <c r="E3194" s="4">
        <f>(((((((((-30.3259221/(10/9))+-10.5)+-0.4)*0.98)*1.11)*0.85)-6.5)+3.2)+-0.3)+0.3</f>
        <v>-38.614698616190694</v>
      </c>
      <c r="F3194" s="4">
        <f>((-1.2754406*(1.3/1.5))*0.6)-0.3</f>
        <v>-0.96322911200000005</v>
      </c>
    </row>
    <row r="3195" spans="1:6" x14ac:dyDescent="0.4">
      <c r="A3195" s="4">
        <v>2793.9355249999999</v>
      </c>
      <c r="B3195" s="4">
        <v>1.3842464999999999</v>
      </c>
      <c r="C3195" s="4">
        <v>1.41839</v>
      </c>
      <c r="D3195" s="4">
        <v>-31.018659</v>
      </c>
      <c r="E3195" s="4">
        <f>(((((((((-30.3375915/(10/9))+-10.5)+-0.4)*0.98)*1.11)*0.85)-6.5)+3.2)+-0.3)+0.3</f>
        <v>-38.624409505780491</v>
      </c>
      <c r="F3195" s="4">
        <f>((-1.2770789*(1.3/1.5))*0.6)-0.3</f>
        <v>-0.96408102800000006</v>
      </c>
    </row>
    <row r="3196" spans="1:6" x14ac:dyDescent="0.4">
      <c r="A3196" s="4">
        <v>2794.8104500000004</v>
      </c>
      <c r="B3196" s="4">
        <v>1.3844029</v>
      </c>
      <c r="C3196" s="4">
        <v>1.4186832</v>
      </c>
      <c r="D3196" s="4">
        <v>-31.018999999999998</v>
      </c>
      <c r="E3196" s="4">
        <f>(((((((((-30.3228873/(10/9))+-10.5)+-0.4)*0.98)*1.11)*0.85)-6.5)+3.2)+-0.3)+0.3</f>
        <v>-38.612173155779097</v>
      </c>
      <c r="F3196" s="4">
        <f>((-1.2788969*(1.3/1.5))*0.6)-0.3</f>
        <v>-0.96502638799999985</v>
      </c>
    </row>
    <row r="3197" spans="1:6" x14ac:dyDescent="0.4">
      <c r="A3197" s="4">
        <v>2795.685375</v>
      </c>
      <c r="B3197" s="4">
        <v>1.3846643000000001</v>
      </c>
      <c r="C3197" s="4">
        <v>1.4187453000000001</v>
      </c>
      <c r="D3197" s="4">
        <v>-31.018659</v>
      </c>
      <c r="E3197" s="4">
        <f>(((((((((-30.3125157/(10/9))+-10.5)+-0.4)*0.98)*1.11)*0.85)-6.5)+3.2)+-0.3)+0.3</f>
        <v>-38.603542252521891</v>
      </c>
      <c r="F3197" s="4">
        <f>((-1.2808083*(1.3/1.5))*0.6)-0.3</f>
        <v>-0.96602031599999982</v>
      </c>
    </row>
    <row r="3198" spans="1:6" x14ac:dyDescent="0.4">
      <c r="A3198" s="4">
        <v>2796.5602999999996</v>
      </c>
      <c r="B3198" s="4">
        <v>1.3847433</v>
      </c>
      <c r="C3198" s="4">
        <v>1.4188197</v>
      </c>
      <c r="D3198" s="4">
        <v>-31.018170999999999</v>
      </c>
      <c r="E3198" s="4">
        <f>(((((((((-30.3105483/(10/9))+-10.5)+-0.4)*0.98)*1.11)*0.85)-6.5)+3.2)+-0.3)+0.3</f>
        <v>-38.601905047166092</v>
      </c>
      <c r="F3198" s="4">
        <f>((-1.2826499*(1.3/1.5))*0.6)-0.3</f>
        <v>-0.96697794800000003</v>
      </c>
    </row>
    <row r="3199" spans="1:6" x14ac:dyDescent="0.4">
      <c r="A3199" s="4">
        <v>2797.4352250000002</v>
      </c>
      <c r="B3199" s="4">
        <v>1.3844945</v>
      </c>
      <c r="C3199" s="4">
        <v>1.4186597999999999</v>
      </c>
      <c r="D3199" s="4">
        <v>-31.017700999999999</v>
      </c>
      <c r="E3199" s="4">
        <f>(((((((((-30.307815/(10/9))+-10.5)+-0.4)*0.98)*1.11)*0.85)-6.5)+3.2)+-0.3)+0.3</f>
        <v>-38.599630485105003</v>
      </c>
      <c r="F3199" s="4">
        <f>((-1.2845867*(1.3/1.5))*0.6)-0.3</f>
        <v>-0.96798508399999994</v>
      </c>
    </row>
    <row r="3200" spans="1:6" x14ac:dyDescent="0.4">
      <c r="A3200" s="4">
        <v>2798.3101499999998</v>
      </c>
      <c r="B3200" s="4">
        <v>1.3847259000000001</v>
      </c>
      <c r="C3200" s="4">
        <v>1.4187666000000001</v>
      </c>
      <c r="D3200" s="4">
        <v>-31.016652000000001</v>
      </c>
      <c r="E3200" s="4">
        <f>(((((((((-30.3251355/(10/9))+-10.5)+-0.4)*0.98)*1.11)*0.85)-6.5)+3.2)+-0.3)+0.3</f>
        <v>-38.614044033628495</v>
      </c>
      <c r="F3200" s="4">
        <f>((-1.2866033*(1.3/1.5))*0.6)-0.3</f>
        <v>-0.96903371599999999</v>
      </c>
    </row>
    <row r="3201" spans="1:6" x14ac:dyDescent="0.4">
      <c r="A3201" s="4">
        <v>2799.1850750000003</v>
      </c>
      <c r="B3201" s="4">
        <v>1.3846301999999999</v>
      </c>
      <c r="C3201" s="4">
        <v>1.4188822999999999</v>
      </c>
      <c r="D3201" s="4">
        <v>-31.015435</v>
      </c>
      <c r="E3201" s="4">
        <f>(((((((((-30.3096141/(10/9))+-10.5)+-0.4)*0.98)*1.11)*0.85)-6.5)+3.2)+-0.3)+0.3</f>
        <v>-38.601127636754697</v>
      </c>
      <c r="F3201" s="4">
        <f>((-1.2886347*(1.3/1.5))*0.6)-0.3</f>
        <v>-0.97009004399999998</v>
      </c>
    </row>
    <row r="3202" spans="1:6" x14ac:dyDescent="0.4">
      <c r="A3202" s="4">
        <v>2800.06</v>
      </c>
      <c r="B3202" s="4">
        <v>1.3851256000000001</v>
      </c>
      <c r="C3202" s="4">
        <v>1.4189934</v>
      </c>
      <c r="D3202" s="4">
        <v>-31.014295000000001</v>
      </c>
      <c r="E3202" s="4">
        <f>(((((((((-30.3251976/(10/9))+-10.5)+-0.4)*0.98)*1.11)*0.85)-6.5)+3.2)+-0.3)+0.3</f>
        <v>-38.614095711199191</v>
      </c>
      <c r="F3202" s="4">
        <f>((-1.2907648*(1.3/1.5))*0.6)-0.3</f>
        <v>-0.97119769599999994</v>
      </c>
    </row>
    <row r="3203" spans="1:6" x14ac:dyDescent="0.4">
      <c r="A3203" s="4">
        <v>2800.934925</v>
      </c>
      <c r="B3203" s="4">
        <v>1.3850887000000001</v>
      </c>
      <c r="C3203" s="4">
        <v>1.4194818</v>
      </c>
      <c r="D3203" s="4">
        <v>-31.012961999999998</v>
      </c>
      <c r="E3203" s="4">
        <f>(((((((((-30.3034482/(10/9))+-10.5)+-0.4)*0.98)*1.11)*0.85)-6.5)+3.2)+-0.3)+0.3</f>
        <v>-38.595996578249391</v>
      </c>
      <c r="F3203" s="4">
        <f>((-1.2928933*(1.3/1.5))*0.6)-0.3</f>
        <v>-0.9723045159999999</v>
      </c>
    </row>
    <row r="3204" spans="1:6" x14ac:dyDescent="0.4">
      <c r="A3204" s="4">
        <v>2801.8098500000001</v>
      </c>
      <c r="B3204" s="4">
        <v>1.3853572999999999</v>
      </c>
      <c r="C3204" s="4">
        <v>1.4194553999999999</v>
      </c>
      <c r="D3204" s="4">
        <v>-31.011357</v>
      </c>
      <c r="E3204" s="4">
        <f>(((((((((-30.3315831/(10/9))+-10.5)+-0.4)*0.98)*1.11)*0.85)-6.5)+3.2)+-0.3)+0.3</f>
        <v>-38.619409513577693</v>
      </c>
      <c r="F3204" s="4">
        <f>((-1.2951059*(1.3/1.5))*0.6)-0.3</f>
        <v>-0.97345506800000003</v>
      </c>
    </row>
    <row r="3205" spans="1:6" x14ac:dyDescent="0.4">
      <c r="A3205" s="4">
        <v>2802.6847749999997</v>
      </c>
      <c r="B3205" s="4">
        <v>1.3852811</v>
      </c>
      <c r="C3205" s="4">
        <v>1.4196206</v>
      </c>
      <c r="D3205" s="4">
        <v>-31.009613999999999</v>
      </c>
      <c r="E3205" s="4">
        <f>(((((((((-30.3160653/(10/9))+-10.5)+-0.4)*0.98)*1.11)*0.85)-6.5)+3.2)+-0.3)+0.3</f>
        <v>-38.606496112505098</v>
      </c>
      <c r="F3205" s="4">
        <f>((-1.2972811*(1.3/1.5))*0.6)-0.3</f>
        <v>-0.97458617199999997</v>
      </c>
    </row>
    <row r="3206" spans="1:6" x14ac:dyDescent="0.4">
      <c r="A3206" s="4">
        <v>2803.5597000000002</v>
      </c>
      <c r="B3206" s="4">
        <v>1.3857193000000001</v>
      </c>
      <c r="C3206" s="4">
        <v>1.4198633000000001</v>
      </c>
      <c r="D3206" s="4">
        <v>-31.007359999999998</v>
      </c>
      <c r="E3206" s="4">
        <f>(((((((((-30.3031701/(10/9))+-10.5)+-0.4)*0.98)*1.11)*0.85)-6.5)+3.2)+-0.3)+0.3</f>
        <v>-38.595765152606695</v>
      </c>
      <c r="F3206" s="4">
        <f>((-1.2995805*(1.3/1.5))*0.6)-0.3</f>
        <v>-0.97578186000000011</v>
      </c>
    </row>
    <row r="3207" spans="1:6" x14ac:dyDescent="0.4">
      <c r="A3207" s="4">
        <v>2804.4346249999999</v>
      </c>
      <c r="B3207" s="4">
        <v>1.3856021999999999</v>
      </c>
      <c r="C3207" s="4">
        <v>1.4197938000000001</v>
      </c>
      <c r="D3207" s="4">
        <v>-31.005140999999998</v>
      </c>
      <c r="E3207" s="4">
        <f>(((((((((-30.2807205/(10/9))+-10.5)+-0.4)*0.98)*1.11)*0.85)-6.5)+3.2)+-0.3)+0.3</f>
        <v>-38.57708333632349</v>
      </c>
      <c r="F3207" s="4">
        <f>((-1.3019027*(1.3/1.5))*0.6)-0.3</f>
        <v>-0.97698940400000001</v>
      </c>
    </row>
    <row r="3208" spans="1:6" x14ac:dyDescent="0.4">
      <c r="A3208" s="4">
        <v>2805.3095499999999</v>
      </c>
      <c r="B3208" s="4">
        <v>1.3858562000000001</v>
      </c>
      <c r="C3208" s="4">
        <v>1.4194617</v>
      </c>
      <c r="D3208" s="4">
        <v>-31.002815999999999</v>
      </c>
      <c r="E3208" s="4">
        <f>(((((((((-30.3278139/(10/9))+-10.5)+-0.4)*0.98)*1.11)*0.85)-6.5)+3.2)+-0.3)+0.3</f>
        <v>-38.616272909721296</v>
      </c>
      <c r="F3208" s="4">
        <f>((-1.3041819*(1.3/1.5))*0.6)-0.3</f>
        <v>-0.9781745879999999</v>
      </c>
    </row>
    <row r="3209" spans="1:6" x14ac:dyDescent="0.4">
      <c r="A3209" s="4">
        <v>2806.184475</v>
      </c>
      <c r="B3209" s="4">
        <v>1.3860044</v>
      </c>
      <c r="C3209" s="4">
        <v>1.4197993</v>
      </c>
      <c r="D3209" s="4">
        <v>-30.999624999999998</v>
      </c>
      <c r="E3209" s="4">
        <f>(((((((((-30.3086016/(10/9))+-10.5)+-0.4)*0.98)*1.11)*0.85)-6.5)+3.2)+-0.3)+0.3</f>
        <v>-38.600285067667194</v>
      </c>
      <c r="F3209" s="4">
        <f>((-1.3065262*(1.3/1.5))*0.6)-0.3</f>
        <v>-0.97939362400000007</v>
      </c>
    </row>
    <row r="3210" spans="1:6" x14ac:dyDescent="0.4">
      <c r="A3210" s="4">
        <v>2807.0594000000001</v>
      </c>
      <c r="B3210" s="4">
        <v>1.3860155000000001</v>
      </c>
      <c r="C3210" s="4">
        <v>1.4196548</v>
      </c>
      <c r="D3210" s="4">
        <v>-30.996534</v>
      </c>
      <c r="E3210" s="4">
        <f>(((((((((-30.3151248/(10/9))+-10.5)+-0.4)*0.98)*1.11)*0.85)-6.5)+3.2)+-0.3)+0.3</f>
        <v>-38.605713459441603</v>
      </c>
      <c r="F3210" s="4">
        <f>((-1.3089348*(1.3/1.5))*0.6)-0.3</f>
        <v>-0.98064609600000008</v>
      </c>
    </row>
    <row r="3211" spans="1:6" x14ac:dyDescent="0.4">
      <c r="A3211" s="4">
        <v>2807.9343250000002</v>
      </c>
      <c r="B3211" s="4">
        <v>1.3860667</v>
      </c>
      <c r="C3211" s="4">
        <v>1.4200432999999999</v>
      </c>
      <c r="D3211" s="4">
        <v>-30.993303999999998</v>
      </c>
      <c r="E3211" s="4">
        <f>(((((((((-30.3219324/(10/9))+-10.5)+-0.4)*0.98)*1.11)*0.85)-6.5)+3.2)+-0.3)+0.3</f>
        <v>-38.611378519510794</v>
      </c>
      <c r="F3211" s="4">
        <f>((-1.3112878*(1.3/1.5))*0.6)-0.3</f>
        <v>-0.98186965599999998</v>
      </c>
    </row>
    <row r="3212" spans="1:6" x14ac:dyDescent="0.4">
      <c r="A3212" s="4">
        <v>2808.8092499999998</v>
      </c>
      <c r="B3212" s="4">
        <v>1.3862677000000001</v>
      </c>
      <c r="C3212" s="4">
        <v>1.4202527</v>
      </c>
      <c r="D3212" s="4">
        <v>-30.989905999999998</v>
      </c>
      <c r="E3212" s="4">
        <f>(((((((((-30.3127623/(10/9))+-10.5)+-0.4)*0.98)*1.11)*0.85)-6.5)+3.2)+-0.3)+0.3</f>
        <v>-38.603747464904096</v>
      </c>
      <c r="F3212" s="4">
        <f>((-1.3135458*(1.3/1.5))*0.6)-0.3</f>
        <v>-0.9830438159999999</v>
      </c>
    </row>
    <row r="3213" spans="1:6" x14ac:dyDescent="0.4">
      <c r="A3213" s="4">
        <v>2809.6841749999999</v>
      </c>
      <c r="B3213" s="4">
        <v>1.3867294999999999</v>
      </c>
      <c r="C3213" s="4">
        <v>1.4205085</v>
      </c>
      <c r="D3213" s="4">
        <v>-30.986319999999999</v>
      </c>
      <c r="E3213" s="4">
        <f>(((((((((-30.3180183/(10/9))+-10.5)+-0.4)*0.98)*1.11)*0.85)-6.5)+3.2)+-0.3)+0.3</f>
        <v>-38.608121334656104</v>
      </c>
      <c r="F3213" s="4">
        <f>((-1.3158523*(1.3/1.5))*0.6)-0.3</f>
        <v>-0.98424319599999999</v>
      </c>
    </row>
    <row r="3214" spans="1:6" x14ac:dyDescent="0.4">
      <c r="A3214" s="4">
        <v>2810.5590999999999</v>
      </c>
      <c r="B3214" s="4">
        <v>1.3868857999999999</v>
      </c>
      <c r="C3214" s="4">
        <v>1.4204218</v>
      </c>
      <c r="D3214" s="4">
        <v>-30.98273</v>
      </c>
      <c r="E3214" s="4">
        <f>(((((((((-30.3230997/(10/9))+-10.5)+-0.4)*0.98)*1.11)*0.85)-6.5)+3.2)+-0.3)+0.3</f>
        <v>-38.6123499080499</v>
      </c>
      <c r="F3214" s="4">
        <f>((-1.3181462*(1.3/1.5))*0.6)-0.3</f>
        <v>-0.98543602399999997</v>
      </c>
    </row>
    <row r="3215" spans="1:6" x14ac:dyDescent="0.4">
      <c r="A3215" s="4">
        <v>2811.434025</v>
      </c>
      <c r="B3215" s="4">
        <v>1.3869874</v>
      </c>
      <c r="C3215" s="4">
        <v>1.4204417</v>
      </c>
      <c r="D3215" s="4">
        <v>-30.978449999999999</v>
      </c>
      <c r="E3215" s="4">
        <f>(((((((((-30.3489315/(10/9))+-10.5)+-0.4)*0.98)*1.11)*0.85)-6.5)+3.2)+-0.3)+0.3</f>
        <v>-38.633846279560487</v>
      </c>
      <c r="F3215" s="4">
        <f>((-1.3203501*(1.3/1.5))*0.6)-0.3</f>
        <v>-0.98658205199999993</v>
      </c>
    </row>
    <row r="3216" spans="1:6" x14ac:dyDescent="0.4">
      <c r="A3216" s="4">
        <v>2812.3089500000001</v>
      </c>
      <c r="B3216" s="4">
        <v>1.3870301</v>
      </c>
      <c r="C3216" s="4">
        <v>1.4206342999999999</v>
      </c>
      <c r="D3216" s="4">
        <v>-30.974356999999998</v>
      </c>
      <c r="E3216" s="4">
        <f>(((((((((-30.3164433/(10/9))+-10.5)+-0.4)*0.98)*1.11)*0.85)-6.5)+3.2)+-0.3)+0.3</f>
        <v>-38.606810671631095</v>
      </c>
      <c r="F3216" s="4">
        <f>((-1.3225391*(1.3/1.5))*0.6)-0.3</f>
        <v>-0.98772033199999987</v>
      </c>
    </row>
    <row r="3217" spans="1:6" x14ac:dyDescent="0.4">
      <c r="A3217" s="4">
        <v>2813.1838750000002</v>
      </c>
      <c r="B3217" s="4">
        <v>1.3872321999999999</v>
      </c>
      <c r="C3217" s="4">
        <v>1.4206464999999999</v>
      </c>
      <c r="D3217" s="4">
        <v>-30.970307999999999</v>
      </c>
      <c r="E3217" s="4">
        <f>(((((((((-30.3225372/(10/9))+-10.5)+-0.4)*0.98)*1.11)*0.85)-6.5)+3.2)+-0.3)+0.3</f>
        <v>-38.611881814112394</v>
      </c>
      <c r="F3217" s="4">
        <f>((-1.3245683*(1.3/1.5))*0.6)-0.3</f>
        <v>-0.98877551600000002</v>
      </c>
    </row>
    <row r="3218" spans="1:6" x14ac:dyDescent="0.4">
      <c r="A3218" s="4">
        <v>2814.0587999999998</v>
      </c>
      <c r="B3218" s="4">
        <v>1.3871861999999999</v>
      </c>
      <c r="C3218" s="4">
        <v>1.4205532000000001</v>
      </c>
      <c r="D3218" s="4">
        <v>-30.966398999999999</v>
      </c>
      <c r="E3218" s="4">
        <f>(((((((((-30.3192306/(10/9))+-10.5)+-0.4)*0.98)*1.11)*0.85)-6.5)+3.2)+-0.3)+0.3</f>
        <v>-38.609130170710195</v>
      </c>
      <c r="F3218" s="4">
        <f>((-1.3266019*(1.3/1.5))*0.6)-0.3</f>
        <v>-0.98983298799999986</v>
      </c>
    </row>
    <row r="3219" spans="1:6" x14ac:dyDescent="0.4">
      <c r="A3219" s="4">
        <v>2814.9337249999999</v>
      </c>
      <c r="B3219" s="4">
        <v>1.3875436000000001</v>
      </c>
      <c r="C3219" s="4">
        <v>1.4209409</v>
      </c>
      <c r="D3219" s="4">
        <v>-30.962259</v>
      </c>
      <c r="E3219" s="4">
        <f>(((((((((-30.3084468/(10/9))+-10.5)+-0.4)*0.98)*1.11)*0.85)-6.5)+3.2)+-0.3)+0.3</f>
        <v>-38.60015624821559</v>
      </c>
      <c r="F3219" s="4">
        <f>((-1.3285966*(1.3/1.5))*0.6)-0.3</f>
        <v>-0.99087023200000002</v>
      </c>
    </row>
    <row r="3220" spans="1:6" x14ac:dyDescent="0.4">
      <c r="A3220" s="4">
        <v>2815.8086499999999</v>
      </c>
      <c r="B3220" s="4">
        <v>1.3876611999999999</v>
      </c>
      <c r="C3220" s="4">
        <v>1.4213754000000001</v>
      </c>
      <c r="D3220" s="4">
        <v>-30.957902000000001</v>
      </c>
      <c r="E3220" s="4">
        <f>(((((((((-30.3217983/(10/9))+-10.5)+-0.4)*0.98)*1.11)*0.85)-6.5)+3.2)+-0.3)+0.3</f>
        <v>-38.611266925916098</v>
      </c>
      <c r="F3220" s="4">
        <f>((-1.3305*(1.3/1.5))*0.6)-0.3</f>
        <v>-0.99185999999999996</v>
      </c>
    </row>
    <row r="3221" spans="1:6" x14ac:dyDescent="0.4">
      <c r="A3221" s="4">
        <v>2816.683575</v>
      </c>
      <c r="B3221" s="4">
        <v>1.3881152999999999</v>
      </c>
      <c r="C3221" s="4">
        <v>1.4213586</v>
      </c>
      <c r="D3221" s="4">
        <v>-30.953409999999998</v>
      </c>
      <c r="E3221" s="4">
        <f>(((((((((-30.3276042/(10/9))+-10.5)+-0.4)*0.98)*1.11)*0.85)-6.5)+3.2)+-0.3)+0.3</f>
        <v>-38.61609840430139</v>
      </c>
      <c r="F3221" s="4">
        <f>((-1.3322825*(1.3/1.5))*0.6)-0.3</f>
        <v>-0.99278690000000003</v>
      </c>
    </row>
    <row r="3222" spans="1:6" x14ac:dyDescent="0.4">
      <c r="A3222" s="4">
        <v>2817.5585000000001</v>
      </c>
      <c r="B3222" s="4">
        <v>1.3883284</v>
      </c>
      <c r="C3222" s="4">
        <v>1.4211290000000001</v>
      </c>
      <c r="D3222" s="4">
        <v>-30.949102</v>
      </c>
      <c r="E3222" s="4">
        <f>(((((((((-30.3152688/(10/9))+-10.5)+-0.4)*0.98)*1.11)*0.85)-6.5)+3.2)+-0.3)+0.3</f>
        <v>-38.605833291489596</v>
      </c>
      <c r="F3222" s="4">
        <f>((-1.333968*(1.3/1.5))*0.6)-0.3</f>
        <v>-0.99366336</v>
      </c>
    </row>
    <row r="3223" spans="1:6" x14ac:dyDescent="0.4">
      <c r="A3223" s="4">
        <v>2818.4334249999997</v>
      </c>
      <c r="B3223" s="4">
        <v>1.3884464999999999</v>
      </c>
      <c r="C3223" s="4">
        <v>1.4215104999999999</v>
      </c>
      <c r="D3223" s="4">
        <v>-30.944831000000001</v>
      </c>
      <c r="E3223" s="4">
        <f>(((((((((-30.3224202/(10/9))+-10.5)+-0.4)*0.98)*1.11)*0.85)-6.5)+3.2)+-0.3)+0.3</f>
        <v>-38.611784450573396</v>
      </c>
      <c r="F3223" s="4">
        <f>((-1.3355634*(1.3/1.5))*0.6)-0.3</f>
        <v>-0.99449296800000009</v>
      </c>
    </row>
    <row r="3224" spans="1:6" x14ac:dyDescent="0.4">
      <c r="A3224" s="4">
        <v>2819.3083500000002</v>
      </c>
      <c r="B3224" s="4">
        <v>1.3885164999999999</v>
      </c>
      <c r="C3224" s="4">
        <v>1.4216854999999999</v>
      </c>
      <c r="D3224" s="4">
        <v>-30.939934999999998</v>
      </c>
      <c r="E3224" s="4">
        <f>(((((((((-30.3271542/(10/9))+-10.5)+-0.4)*0.98)*1.11)*0.85)-6.5)+3.2)+-0.3)+0.3</f>
        <v>-38.615723929151393</v>
      </c>
      <c r="F3224" s="4">
        <f>((-1.337064*(1.3/1.5))*0.6)-0.3</f>
        <v>-0.99527328000000015</v>
      </c>
    </row>
    <row r="3225" spans="1:6" x14ac:dyDescent="0.4">
      <c r="A3225" s="4">
        <v>2820.1832749999999</v>
      </c>
      <c r="B3225" s="4">
        <v>1.3884462</v>
      </c>
      <c r="C3225" s="4">
        <v>1.4214293</v>
      </c>
      <c r="D3225" s="4">
        <v>-30.935558999999998</v>
      </c>
      <c r="E3225" s="4">
        <f>(((((((((-30.3282909/(10/9))+-10.5)+-0.4)*0.98)*1.11)*0.85)-6.5)+3.2)+-0.3)+0.3</f>
        <v>-38.616669853380294</v>
      </c>
      <c r="F3225" s="4">
        <f>((-1.3384075*(1.3/1.5))*0.6)-0.3</f>
        <v>-0.99597190000000002</v>
      </c>
    </row>
    <row r="3226" spans="1:6" x14ac:dyDescent="0.4">
      <c r="A3226" s="4">
        <v>2821.0582000000004</v>
      </c>
      <c r="B3226" s="4">
        <v>1.3885672</v>
      </c>
      <c r="C3226" s="4">
        <v>1.421306</v>
      </c>
      <c r="D3226" s="4">
        <v>-30.931034999999998</v>
      </c>
      <c r="E3226" s="4">
        <f>(((((((((-30.3428304/(10/9))+-10.5)+-0.4)*0.98)*1.11)*0.85)-6.5)+3.2)+-0.3)+0.3</f>
        <v>-38.628769145476795</v>
      </c>
      <c r="F3226" s="4">
        <f>((-1.3397474*(1.3/1.5))*0.6)-0.3</f>
        <v>-0.99666864799999999</v>
      </c>
    </row>
    <row r="3227" spans="1:6" x14ac:dyDescent="0.4">
      <c r="A3227" s="4">
        <v>2821.933125</v>
      </c>
      <c r="B3227" s="4">
        <v>1.3890865999999999</v>
      </c>
      <c r="C3227" s="4">
        <v>1.4216709999999999</v>
      </c>
      <c r="D3227" s="4">
        <v>-30.926828</v>
      </c>
      <c r="E3227" s="4">
        <f>(((((((((-30.3455394/(10/9))+-10.5)+-0.4)*0.98)*1.11)*0.85)-6.5)+3.2)+-0.3)+0.3</f>
        <v>-38.631023485879801</v>
      </c>
      <c r="F3227" s="4">
        <f>((-1.3409611*(1.3/1.5))*0.6)-0.3</f>
        <v>-0.99729977199999986</v>
      </c>
    </row>
    <row r="3228" spans="1:6" x14ac:dyDescent="0.4">
      <c r="A3228" s="4">
        <v>2822.8080499999996</v>
      </c>
      <c r="B3228" s="4">
        <v>1.3891526000000001</v>
      </c>
      <c r="C3228" s="4">
        <v>1.4221250000000001</v>
      </c>
      <c r="D3228" s="4">
        <v>-30.922508999999998</v>
      </c>
      <c r="E3228" s="4">
        <f>(((((((((-30.3351399/(10/9))+-10.5)+-0.4)*0.98)*1.11)*0.85)-6.5)+3.2)+-0.3)+0.3</f>
        <v>-38.622369365163294</v>
      </c>
      <c r="F3228" s="4">
        <f>((-1.3420433*(1.3/1.5))*0.6)-0.3</f>
        <v>-0.99786251600000009</v>
      </c>
    </row>
    <row r="3229" spans="1:6" x14ac:dyDescent="0.4">
      <c r="A3229" s="4">
        <v>2823.6829750000002</v>
      </c>
      <c r="B3229" s="4">
        <v>1.3893872</v>
      </c>
      <c r="C3229" s="4">
        <v>1.4218529</v>
      </c>
      <c r="D3229" s="4">
        <v>-30.918005999999998</v>
      </c>
      <c r="E3229" s="4">
        <f>(((((((((-30.3622182/(10/9))+-10.5)+-0.4)*0.98)*1.11)*0.85)-6.5)+3.2)+-0.3)+0.3</f>
        <v>-38.644903032839402</v>
      </c>
      <c r="F3229" s="4">
        <f>((-1.3429469*(1.3/1.5))*0.6)-0.3</f>
        <v>-0.9983323879999999</v>
      </c>
    </row>
    <row r="3230" spans="1:6" x14ac:dyDescent="0.4">
      <c r="A3230" s="4">
        <v>2824.5578999999998</v>
      </c>
      <c r="B3230" s="4">
        <v>1.3897394999999999</v>
      </c>
      <c r="C3230" s="4">
        <v>1.4220477</v>
      </c>
      <c r="D3230" s="4">
        <v>-30.913819999999998</v>
      </c>
      <c r="E3230" s="4">
        <f>(((((((((-30.3354423/(10/9))+-10.5)+-0.4)*0.98)*1.11)*0.85)-6.5)+3.2)+-0.3)+0.3</f>
        <v>-38.622621012464101</v>
      </c>
      <c r="F3230" s="4">
        <f>((-1.343798*(1.3/1.5))*0.6)-0.3</f>
        <v>-0.99877495999999999</v>
      </c>
    </row>
    <row r="3231" spans="1:6" x14ac:dyDescent="0.4">
      <c r="A3231" s="4">
        <v>2825.4328250000003</v>
      </c>
      <c r="B3231" s="4">
        <v>1.3894579</v>
      </c>
      <c r="C3231" s="4">
        <v>1.4221554999999999</v>
      </c>
      <c r="D3231" s="4">
        <v>-30.910042999999998</v>
      </c>
      <c r="E3231" s="4">
        <f>(((((((((-30.3312501/(10/9))+-10.5)+-0.4)*0.98)*1.11)*0.85)-6.5)+3.2)+-0.3)+0.3</f>
        <v>-38.619132401966695</v>
      </c>
      <c r="F3231" s="4">
        <f>((-1.3444812*(1.3/1.5))*0.6)-0.3</f>
        <v>-0.99913022399999996</v>
      </c>
    </row>
    <row r="3232" spans="1:6" x14ac:dyDescent="0.4">
      <c r="A3232" s="4">
        <v>2826.3077499999999</v>
      </c>
      <c r="B3232" s="4">
        <v>1.3896286</v>
      </c>
      <c r="C3232" s="4">
        <v>1.4216443999999999</v>
      </c>
      <c r="D3232" s="4">
        <v>-30.906489999999998</v>
      </c>
      <c r="E3232" s="4">
        <f>(((((((((-30.346875/(10/9))+-10.5)+-0.4)*0.98)*1.11)*0.85)-6.5)+3.2)+-0.3)+0.3</f>
        <v>-38.632134928124998</v>
      </c>
      <c r="F3232" s="4">
        <f>((-1.3449657*(1.3/1.5))*0.6)-0.3</f>
        <v>-0.99938216400000002</v>
      </c>
    </row>
    <row r="3233" spans="1:6" x14ac:dyDescent="0.4">
      <c r="A3233" s="4">
        <v>2827.182675</v>
      </c>
      <c r="B3233" s="4">
        <v>1.3900117000000001</v>
      </c>
      <c r="C3233" s="4">
        <v>1.4219489000000001</v>
      </c>
      <c r="D3233" s="4">
        <v>-30.902035999999999</v>
      </c>
      <c r="E3233" s="4">
        <f>(((((((((-30.345759/(10/9))+-10.5)+-0.4)*0.98)*1.11)*0.85)-6.5)+3.2)+-0.3)+0.3</f>
        <v>-38.631206229753005</v>
      </c>
      <c r="F3233" s="4">
        <f>((-1.3453373*(1.3/1.5))*0.6)-0.3</f>
        <v>-0.999575396</v>
      </c>
    </row>
    <row r="3234" spans="1:6" x14ac:dyDescent="0.4">
      <c r="A3234" s="4">
        <v>2828.0576000000001</v>
      </c>
      <c r="B3234" s="4">
        <v>1.3902137000000001</v>
      </c>
      <c r="C3234" s="4">
        <v>1.4221812</v>
      </c>
      <c r="D3234" s="4">
        <v>-30.897873999999998</v>
      </c>
      <c r="E3234" s="4">
        <f>(((((((((-30.35781/(10/9))+-10.5)+-0.4)*0.98)*1.11)*0.85)-6.5)+3.2)+-0.3)+0.3</f>
        <v>-38.641234674270002</v>
      </c>
      <c r="F3234" s="4">
        <f>((-1.3455977*(1.3/1.5))*0.6)-0.3</f>
        <v>-0.99971080399999979</v>
      </c>
    </row>
    <row r="3235" spans="1:6" x14ac:dyDescent="0.4">
      <c r="A3235" s="4">
        <v>2828.9325249999997</v>
      </c>
      <c r="B3235" s="4">
        <v>1.3905132</v>
      </c>
      <c r="C3235" s="4">
        <v>1.4225771</v>
      </c>
      <c r="D3235" s="4">
        <v>-30.894331999999999</v>
      </c>
      <c r="E3235" s="4">
        <f>(((((((((-30.3123537/(10/9))+-10.5)+-0.4)*0.98)*1.11)*0.85)-6.5)+3.2)+-0.3)+0.3</f>
        <v>-38.603407441467894</v>
      </c>
      <c r="F3235" s="4">
        <f>((-1.3457421*(1.3/1.5))*0.6)-0.3</f>
        <v>-0.99978589200000001</v>
      </c>
    </row>
    <row r="3236" spans="1:6" x14ac:dyDescent="0.4">
      <c r="A3236" s="4">
        <v>2829.8074500000002</v>
      </c>
      <c r="B3236" s="4">
        <v>1.3904097</v>
      </c>
      <c r="C3236" s="4">
        <v>1.4226114999999999</v>
      </c>
      <c r="D3236" s="4">
        <v>-30.890729</v>
      </c>
      <c r="E3236" s="4">
        <f>(((((((((-30.3202746/(10/9))+-10.5)+-0.4)*0.98)*1.11)*0.85)-6.5)+3.2)+-0.3)+0.3</f>
        <v>-38.609998953058195</v>
      </c>
      <c r="F3236" s="4">
        <f>((-1.3457098*(1.3/1.5))*0.6)-0.3</f>
        <v>-0.99976909600000008</v>
      </c>
    </row>
    <row r="3237" spans="1:6" x14ac:dyDescent="0.4">
      <c r="A3237" s="4">
        <v>2830.6823749999999</v>
      </c>
      <c r="B3237" s="4">
        <v>1.3906236999999999</v>
      </c>
      <c r="C3237" s="4">
        <v>1.4228491000000001</v>
      </c>
      <c r="D3237" s="4">
        <v>-30.887411999999998</v>
      </c>
      <c r="E3237" s="4">
        <f>(((((((((-30.3471531/(10/9))+-10.5)+-0.4)*0.98)*1.11)*0.85)-6.5)+3.2)+-0.3)+0.3</f>
        <v>-38.632366353767694</v>
      </c>
      <c r="F3237" s="4">
        <f>((-1.3454515*(1.3/1.5))*0.6)-0.3</f>
        <v>-0.99963478000000006</v>
      </c>
    </row>
    <row r="3238" spans="1:6" x14ac:dyDescent="0.4">
      <c r="A3238" s="4">
        <v>2831.5572999999999</v>
      </c>
      <c r="B3238" s="4">
        <v>1.3909365</v>
      </c>
      <c r="C3238" s="4">
        <v>1.4228406</v>
      </c>
      <c r="D3238" s="4">
        <v>-30.88475</v>
      </c>
      <c r="E3238" s="4">
        <f>(((((((((-30.3293313/(10/9))+-10.5)+-0.4)*0.98)*1.11)*0.85)-6.5)+3.2)+-0.3)+0.3</f>
        <v>-38.617535639927105</v>
      </c>
      <c r="F3238" s="4">
        <f>((-1.3450798*(1.3/1.5))*0.6)-0.3</f>
        <v>-0.99944149599999998</v>
      </c>
    </row>
    <row r="3239" spans="1:6" x14ac:dyDescent="0.4">
      <c r="A3239" s="4">
        <v>2832.432225</v>
      </c>
      <c r="B3239" s="4">
        <v>1.3910830999999999</v>
      </c>
      <c r="C3239" s="4">
        <v>1.4234595000000001</v>
      </c>
      <c r="D3239" s="4">
        <v>-30.881779999999999</v>
      </c>
      <c r="E3239" s="4">
        <f>(((((((((-30.3459174/(10/9))+-10.5)+-0.4)*0.98)*1.11)*0.85)-6.5)+3.2)+-0.3)+0.3</f>
        <v>-38.631338045005798</v>
      </c>
      <c r="F3239" s="4">
        <f>((-1.3446223*(1.3/1.5))*0.6)-0.3</f>
        <v>-0.99920359600000008</v>
      </c>
    </row>
    <row r="3240" spans="1:6" x14ac:dyDescent="0.4">
      <c r="A3240" s="4">
        <v>2833.3071500000001</v>
      </c>
      <c r="B3240" s="4">
        <v>1.3915512999999999</v>
      </c>
      <c r="C3240" s="4">
        <v>1.4231917000000001</v>
      </c>
      <c r="D3240" s="4">
        <v>-30.879186000000001</v>
      </c>
      <c r="E3240" s="4">
        <f>(((((((((-30.3218397/(10/9))+-10.5)+-0.4)*0.98)*1.11)*0.85)-6.5)+3.2)+-0.3)+0.3</f>
        <v>-38.6113013776299</v>
      </c>
      <c r="F3240" s="4">
        <f>((-1.3440883*(1.3/1.5))*0.6)-0.3</f>
        <v>-0.99892591599999991</v>
      </c>
    </row>
    <row r="3241" spans="1:6" x14ac:dyDescent="0.4">
      <c r="A3241" s="4">
        <v>2834.1820750000002</v>
      </c>
      <c r="B3241" s="4">
        <v>1.3913903000000001</v>
      </c>
      <c r="C3241" s="4">
        <v>1.4231262</v>
      </c>
      <c r="D3241" s="4">
        <v>-30.876645</v>
      </c>
      <c r="E3241" s="4">
        <f>(((((((((-30.354057/(10/9))+-10.5)+-0.4)*0.98)*1.11)*0.85)-6.5)+3.2)+-0.3)+0.3</f>
        <v>-38.638111551518996</v>
      </c>
      <c r="F3241" s="4">
        <f>((-1.3434501*(1.3/1.5))*0.6)-0.3</f>
        <v>-0.99859405200000007</v>
      </c>
    </row>
    <row r="3242" spans="1:6" x14ac:dyDescent="0.4">
      <c r="A3242" s="4">
        <v>2835.0569999999998</v>
      </c>
      <c r="B3242" s="4">
        <v>1.3916018999999999</v>
      </c>
      <c r="C3242" s="4">
        <v>1.4238287000000001</v>
      </c>
      <c r="D3242" s="4">
        <v>-30.874182999999999</v>
      </c>
      <c r="E3242" s="4">
        <f>(((((((((-30.3612804/(10/9))+-10.5)+-0.4)*0.98)*1.11)*0.85)-6.5)+3.2)+-0.3)+0.3</f>
        <v>-38.644122626626796</v>
      </c>
      <c r="F3242" s="4">
        <f>((-1.3426199*(1.3/1.5))*0.6)-0.3</f>
        <v>-0.99816234799999992</v>
      </c>
    </row>
    <row r="3243" spans="1:6" x14ac:dyDescent="0.4">
      <c r="A3243" s="4">
        <v>2835.9319249999999</v>
      </c>
      <c r="B3243" s="4">
        <v>1.3920882999999999</v>
      </c>
      <c r="C3243" s="4">
        <v>1.4242630999999999</v>
      </c>
      <c r="D3243" s="4">
        <v>-30.872025999999998</v>
      </c>
      <c r="E3243" s="4">
        <f>(((((((((-30.3362217/(10/9))+-10.5)+-0.4)*0.98)*1.11)*0.85)-6.5)+3.2)+-0.3)+0.3</f>
        <v>-38.623269603423893</v>
      </c>
      <c r="F3243" s="4">
        <f>((-1.3417094*(1.3/1.5))*0.6)-0.3</f>
        <v>-0.99768888799999988</v>
      </c>
    </row>
    <row r="3244" spans="1:6" x14ac:dyDescent="0.4">
      <c r="A3244" s="4">
        <v>2836.8068499999999</v>
      </c>
      <c r="B3244" s="4">
        <v>1.3919946000000001</v>
      </c>
      <c r="C3244" s="4">
        <v>1.4244424</v>
      </c>
      <c r="D3244" s="4">
        <v>-30.870369999999998</v>
      </c>
      <c r="E3244" s="4">
        <f>(((((((((-30.3523506/(10/9))+-10.5)+-0.4)*0.98)*1.11)*0.85)-6.5)+3.2)+-0.3)+0.3</f>
        <v>-38.636691541750196</v>
      </c>
      <c r="F3244" s="4">
        <f>((-1.3406553*(1.3/1.5))*0.6)-0.3</f>
        <v>-0.99714075600000007</v>
      </c>
    </row>
    <row r="3245" spans="1:6" x14ac:dyDescent="0.4">
      <c r="A3245" s="4">
        <v>2837.681775</v>
      </c>
      <c r="B3245" s="4">
        <v>1.3921797</v>
      </c>
      <c r="C3245" s="4">
        <v>1.4243881</v>
      </c>
      <c r="D3245" s="4">
        <v>-30.868364</v>
      </c>
      <c r="E3245" s="4">
        <f>(((((((((-30.3408567/(10/9))+-10.5)+-0.4)*0.98)*1.11)*0.85)-6.5)+3.2)+-0.3)+0.3</f>
        <v>-38.627126697468903</v>
      </c>
      <c r="F3245" s="4">
        <f>((-1.3394874*(1.3/1.5))*0.6)-0.3</f>
        <v>-0.9965334480000001</v>
      </c>
    </row>
    <row r="3246" spans="1:6" x14ac:dyDescent="0.4">
      <c r="A3246" s="4">
        <v>2838.5567000000001</v>
      </c>
      <c r="B3246" s="4">
        <v>1.392784</v>
      </c>
      <c r="C3246" s="4">
        <v>1.424474</v>
      </c>
      <c r="D3246" s="4">
        <v>-30.867027</v>
      </c>
      <c r="E3246" s="4">
        <f>(((((((((-30.322908/(10/9))+-10.5)+-0.4)*0.98)*1.11)*0.85)-6.5)+3.2)+-0.3)+0.3</f>
        <v>-38.612190381635997</v>
      </c>
      <c r="F3246" s="4">
        <f>((-1.3381497*(1.3/1.5))*0.6)-0.3</f>
        <v>-0.99583784399999997</v>
      </c>
    </row>
    <row r="3247" spans="1:6" x14ac:dyDescent="0.4">
      <c r="A3247" s="4">
        <v>2839.4316250000002</v>
      </c>
      <c r="B3247" s="4">
        <v>1.3924137000000001</v>
      </c>
      <c r="C3247" s="4">
        <v>1.4247552999999999</v>
      </c>
      <c r="D3247" s="4">
        <v>-30.865648999999998</v>
      </c>
      <c r="E3247" s="4">
        <f>(((((((((-30.3468165/(10/9))+-10.5)+-0.4)*0.98)*1.11)*0.85)-6.5)+3.2)+-0.3)+0.3</f>
        <v>-38.632086246355499</v>
      </c>
      <c r="F3247" s="4">
        <f>((-1.3366897*(1.3/1.5))*0.6)-0.3</f>
        <v>-0.9950786439999999</v>
      </c>
    </row>
    <row r="3248" spans="1:6" x14ac:dyDescent="0.4">
      <c r="A3248" s="4">
        <v>2840.3065499999998</v>
      </c>
      <c r="B3248" s="4">
        <v>1.3923023000000001</v>
      </c>
      <c r="C3248" s="4">
        <v>1.4248695</v>
      </c>
      <c r="D3248" s="4">
        <v>-30.864971999999998</v>
      </c>
      <c r="E3248" s="4">
        <f>(((((((((-30.3335847/(10/9))+-10.5)+-0.4)*0.98)*1.11)*0.85)-6.5)+3.2)+-0.3)+0.3</f>
        <v>-38.621075179044901</v>
      </c>
      <c r="F3248" s="4">
        <f>((-1.3351855*(1.3/1.5))*0.6)-0.3</f>
        <v>-0.99429645999999994</v>
      </c>
    </row>
    <row r="3249" spans="1:6" x14ac:dyDescent="0.4">
      <c r="A3249" s="4">
        <v>2841.1814750000003</v>
      </c>
      <c r="B3249" s="4">
        <v>1.3927269</v>
      </c>
      <c r="C3249" s="4">
        <v>1.4252260999999999</v>
      </c>
      <c r="D3249" s="4">
        <v>-30.864138999999998</v>
      </c>
      <c r="E3249" s="4">
        <f>(((((((((-30.3505965/(10/9))+-10.5)+-0.4)*0.98)*1.11)*0.85)-6.5)+3.2)+-0.3)+0.3</f>
        <v>-38.6352318376155</v>
      </c>
      <c r="F3249" s="4">
        <f>((-1.3335956*(1.3/1.5))*0.6)-0.3</f>
        <v>-0.993469712</v>
      </c>
    </row>
    <row r="3250" spans="1:6" x14ac:dyDescent="0.4">
      <c r="A3250" s="4">
        <v>2842.0563999999999</v>
      </c>
      <c r="B3250" s="4">
        <v>1.3929225999999999</v>
      </c>
      <c r="C3250" s="4">
        <v>1.4252414</v>
      </c>
      <c r="D3250" s="4">
        <v>-30.863900000000001</v>
      </c>
      <c r="E3250" s="4">
        <f>(((((((((-30.3427584/(10/9))+-10.5)+-0.4)*0.98)*1.11)*0.85)-6.5)+3.2)+-0.3)+0.3</f>
        <v>-38.628709229452795</v>
      </c>
      <c r="F3250" s="4">
        <f>((-1.331869*(1.3/1.5))*0.6)-0.3</f>
        <v>-0.99257188000000007</v>
      </c>
    </row>
    <row r="3251" spans="1:6" x14ac:dyDescent="0.4">
      <c r="A3251" s="4">
        <v>2842.931325</v>
      </c>
      <c r="B3251" s="4">
        <v>1.3929583000000001</v>
      </c>
      <c r="C3251" s="4">
        <v>1.4255674</v>
      </c>
      <c r="D3251" s="4">
        <v>-30.863630000000001</v>
      </c>
      <c r="E3251" s="4">
        <f>(((((((((-30.3666336/(10/9))+-10.5)+-0.4)*0.98)*1.11)*0.85)-6.5)+3.2)+-0.3)+0.3</f>
        <v>-38.648577383011194</v>
      </c>
      <c r="F3251" s="4">
        <f>((-1.3300918*(1.3/1.5))*0.6)-0.3</f>
        <v>-0.991647736</v>
      </c>
    </row>
    <row r="3252" spans="1:6" x14ac:dyDescent="0.4">
      <c r="A3252" s="4">
        <v>2843.8062500000001</v>
      </c>
      <c r="B3252" s="4">
        <v>1.393327</v>
      </c>
      <c r="C3252" s="4">
        <v>1.4256525</v>
      </c>
      <c r="D3252" s="4">
        <v>-30.864094999999999</v>
      </c>
      <c r="E3252" s="4">
        <f>(((((((((-30.3262551/(10/9))+-10.5)+-0.4)*0.98)*1.11)*0.85)-6.5)+3.2)+-0.3)+0.3</f>
        <v>-38.614975727801692</v>
      </c>
      <c r="F3252" s="4">
        <f>((-1.328246*(1.3/1.5))*0.6)-0.3</f>
        <v>-0.99068792000000006</v>
      </c>
    </row>
    <row r="3253" spans="1:6" x14ac:dyDescent="0.4">
      <c r="A3253" s="4">
        <v>2844.6811749999997</v>
      </c>
      <c r="B3253" s="4">
        <v>1.3935385</v>
      </c>
      <c r="C3253" s="4">
        <v>1.4256644000000001</v>
      </c>
      <c r="D3253" s="4">
        <v>-30.864698000000001</v>
      </c>
      <c r="E3253" s="4">
        <f>(((((((((-30.3333957/(10/9))+-10.5)+-0.4)*0.98)*1.11)*0.85)-6.5)+3.2)+-0.3)+0.3</f>
        <v>-38.620917899481903</v>
      </c>
      <c r="F3253" s="4">
        <f>((-1.3263264*(1.3/1.5))*0.6)-0.3</f>
        <v>-0.98968972799999988</v>
      </c>
    </row>
    <row r="3254" spans="1:6" x14ac:dyDescent="0.4">
      <c r="A3254" s="4">
        <v>2845.5561000000002</v>
      </c>
      <c r="B3254" s="4">
        <v>1.3936031</v>
      </c>
      <c r="C3254" s="4">
        <v>1.4260793</v>
      </c>
      <c r="D3254" s="4">
        <v>-30.865468</v>
      </c>
      <c r="E3254" s="4">
        <f>(((((((((-30.3258636/(10/9))+-10.5)+-0.4)*0.98)*1.11)*0.85)-6.5)+3.2)+-0.3)+0.3</f>
        <v>-38.614649934421202</v>
      </c>
      <c r="F3254" s="4">
        <f>((-1.3243842*(1.3/1.5))*0.6)-0.3</f>
        <v>-0.98867978399999989</v>
      </c>
    </row>
    <row r="3255" spans="1:6" x14ac:dyDescent="0.4">
      <c r="A3255" s="4">
        <v>2846.4310249999999</v>
      </c>
      <c r="B3255" s="4">
        <v>1.3941759</v>
      </c>
      <c r="C3255" s="4">
        <v>1.4260128999999999</v>
      </c>
      <c r="D3255" s="4">
        <v>-30.866561000000001</v>
      </c>
      <c r="E3255" s="4">
        <f>(((((((((-30.3369354/(10/9))+-10.5)+-0.4)*0.98)*1.11)*0.85)-6.5)+3.2)+-0.3)+0.3</f>
        <v>-38.623863521011792</v>
      </c>
      <c r="F3255" s="4">
        <f>((-1.3224009*(1.3/1.5))*0.6)-0.3</f>
        <v>-0.98764846799999995</v>
      </c>
    </row>
    <row r="3256" spans="1:6" x14ac:dyDescent="0.4">
      <c r="A3256" s="4">
        <v>2847.3059500000004</v>
      </c>
      <c r="B3256" s="4">
        <v>1.3944824</v>
      </c>
      <c r="C3256" s="4">
        <v>1.426175</v>
      </c>
      <c r="D3256" s="4">
        <v>-30.868107999999999</v>
      </c>
      <c r="E3256" s="4">
        <f>(((((((((-30.3341553/(10/9))+-10.5)+-0.4)*0.98)*1.11)*0.85)-6.5)+3.2)+-0.3)+0.3</f>
        <v>-38.621550013535092</v>
      </c>
      <c r="F3256" s="4">
        <f>((-1.3202838*(1.3/1.5))*0.6)-0.3</f>
        <v>-0.98654757599999998</v>
      </c>
    </row>
    <row r="3257" spans="1:6" x14ac:dyDescent="0.4">
      <c r="A3257" s="4">
        <v>2848.180875</v>
      </c>
      <c r="B3257" s="4">
        <v>1.394371</v>
      </c>
      <c r="C3257" s="4">
        <v>1.4262300000000001</v>
      </c>
      <c r="D3257" s="4">
        <v>-30.869291999999998</v>
      </c>
      <c r="E3257" s="4">
        <f>(((((((((-30.3230007/(10/9))+-10.5)+-0.4)*0.98)*1.11)*0.85)-6.5)+3.2)+-0.3)+0.3</f>
        <v>-38.612267523516898</v>
      </c>
      <c r="F3257" s="4">
        <f>((-1.3181417*(1.3/1.5))*0.6)-0.3</f>
        <v>-0.98543368399999998</v>
      </c>
    </row>
    <row r="3258" spans="1:6" x14ac:dyDescent="0.4">
      <c r="A3258" s="4">
        <v>2849.0557999999996</v>
      </c>
      <c r="B3258" s="4">
        <v>1.3946084000000001</v>
      </c>
      <c r="C3258" s="4">
        <v>1.426137</v>
      </c>
      <c r="D3258" s="4">
        <v>-30.871040999999998</v>
      </c>
      <c r="E3258" s="4">
        <f>(((((((((-30.3290082/(10/9))+-10.5)+-0.4)*0.98)*1.11)*0.85)-6.5)+3.2)+-0.3)+0.3</f>
        <v>-38.617266766769397</v>
      </c>
      <c r="F3258" s="4">
        <f>((-1.3159438*(1.3/1.5))*0.6)-0.3</f>
        <v>-0.98429077600000014</v>
      </c>
    </row>
    <row r="3259" spans="1:6" x14ac:dyDescent="0.4">
      <c r="A3259" s="4">
        <v>2849.9307250000002</v>
      </c>
      <c r="B3259" s="4">
        <v>1.3950248999999999</v>
      </c>
      <c r="C3259" s="4">
        <v>1.4263786000000001</v>
      </c>
      <c r="D3259" s="4">
        <v>-30.87313</v>
      </c>
      <c r="E3259" s="4">
        <f>(((((((((-30.3351948/(10/9))+-10.5)+-0.4)*0.98)*1.11)*0.85)-6.5)+3.2)+-0.3)+0.3</f>
        <v>-38.622415051131597</v>
      </c>
      <c r="F3259" s="4">
        <f>((-1.3137084*(1.3/1.5))*0.6)-0.3</f>
        <v>-0.98312836800000003</v>
      </c>
    </row>
    <row r="3260" spans="1:6" x14ac:dyDescent="0.4">
      <c r="A3260" s="4">
        <v>2850.8056499999998</v>
      </c>
      <c r="B3260" s="4">
        <v>1.395189</v>
      </c>
      <c r="C3260" s="4">
        <v>1.4267542</v>
      </c>
      <c r="D3260" s="4">
        <v>-30.875730000000001</v>
      </c>
      <c r="E3260" s="4">
        <f>(((((((((-30.3288813/(10/9))+-10.5)+-0.4)*0.98)*1.11)*0.85)-6.5)+3.2)+-0.3)+0.3</f>
        <v>-38.617161164777102</v>
      </c>
      <c r="F3260" s="4">
        <f>((-1.311468*(1.3/1.5))*0.6)-0.3</f>
        <v>-0.98196336000000017</v>
      </c>
    </row>
    <row r="3261" spans="1:6" x14ac:dyDescent="0.4">
      <c r="A3261" s="4">
        <v>2851.6805750000003</v>
      </c>
      <c r="B3261" s="4">
        <v>1.3953314999999999</v>
      </c>
      <c r="C3261" s="4">
        <v>1.4265140000000001</v>
      </c>
      <c r="D3261" s="4">
        <v>-30.878332999999998</v>
      </c>
      <c r="E3261" s="4">
        <f>(((((((((-30.3265746/(10/9))+-10.5)+-0.4)*0.98)*1.11)*0.85)-6.5)+3.2)+-0.3)+0.3</f>
        <v>-38.615241605158197</v>
      </c>
      <c r="F3261" s="4">
        <f>((-1.3092654*(1.3/1.5))*0.6)-0.3</f>
        <v>-0.98081800799999996</v>
      </c>
    </row>
    <row r="3262" spans="1:6" x14ac:dyDescent="0.4">
      <c r="A3262" s="4">
        <v>2852.5554999999999</v>
      </c>
      <c r="B3262" s="4">
        <v>1.3953561000000001</v>
      </c>
      <c r="C3262" s="4">
        <v>1.4263504</v>
      </c>
      <c r="D3262" s="4">
        <v>-30.880668</v>
      </c>
      <c r="E3262" s="4">
        <f>(((((((((-30.3387759/(10/9))+-10.5)+-0.4)*0.98)*1.11)*0.85)-6.5)+3.2)+-0.3)+0.3</f>
        <v>-38.625395124375302</v>
      </c>
      <c r="F3262" s="4">
        <f>((-1.3071088*(1.3/1.5))*0.6)-0.3</f>
        <v>-0.97969657599999982</v>
      </c>
    </row>
    <row r="3263" spans="1:6" x14ac:dyDescent="0.4">
      <c r="A3263" s="4">
        <v>2853.430425</v>
      </c>
      <c r="B3263" s="4">
        <v>1.395243</v>
      </c>
      <c r="C3263" s="4">
        <v>1.4266780999999999</v>
      </c>
      <c r="D3263" s="4">
        <v>-30.883191</v>
      </c>
      <c r="E3263" s="4">
        <f>(((((((((-30.3116292/(10/9))+-10.5)+-0.4)*0.98)*1.11)*0.85)-6.5)+3.2)+-0.3)+0.3</f>
        <v>-38.602804536476391</v>
      </c>
      <c r="F3263" s="4">
        <f>((-1.3050035*(1.3/1.5))*0.6)-0.3</f>
        <v>-0.97860181999999996</v>
      </c>
    </row>
    <row r="3264" spans="1:6" x14ac:dyDescent="0.4">
      <c r="A3264" s="4">
        <v>2854.3053500000001</v>
      </c>
      <c r="B3264" s="4">
        <v>1.395637</v>
      </c>
      <c r="C3264" s="4">
        <v>1.4267774</v>
      </c>
      <c r="D3264" s="4">
        <v>-30.886333</v>
      </c>
      <c r="E3264" s="4">
        <f>(((((((((-30.3070293/(10/9))+-10.5)+-0.4)*0.98)*1.11)*0.85)-6.5)+3.2)+-0.3)+0.3</f>
        <v>-38.598976651493096</v>
      </c>
      <c r="F3264" s="4">
        <f>((-1.3029175*(1.3/1.5))*0.6)-0.3</f>
        <v>-0.97751710000000003</v>
      </c>
    </row>
    <row r="3265" spans="1:6" x14ac:dyDescent="0.4">
      <c r="A3265" s="4">
        <v>2855.1802749999997</v>
      </c>
      <c r="B3265" s="4">
        <v>1.3959037999999999</v>
      </c>
      <c r="C3265" s="4">
        <v>1.4269124</v>
      </c>
      <c r="D3265" s="4">
        <v>-30.889582999999998</v>
      </c>
      <c r="E3265" s="4">
        <f>(((((((((-30.3081552/(10/9))+-10.5)+-0.4)*0.98)*1.11)*0.85)-6.5)+3.2)+-0.3)+0.3</f>
        <v>-38.599913588318401</v>
      </c>
      <c r="F3265" s="4">
        <f>((-1.300824*(1.3/1.5))*0.6)-0.3</f>
        <v>-0.97642848000000004</v>
      </c>
    </row>
    <row r="3266" spans="1:6" x14ac:dyDescent="0.4">
      <c r="A3266" s="4">
        <v>2856.0552000000002</v>
      </c>
      <c r="B3266" s="4">
        <v>1.395891</v>
      </c>
      <c r="C3266" s="4">
        <v>1.4265592</v>
      </c>
      <c r="D3266" s="4">
        <v>-30.893024</v>
      </c>
      <c r="E3266" s="4">
        <f>(((((((((-30.3083334/(10/9))+-10.5)+-0.4)*0.98)*1.11)*0.85)-6.5)+3.2)+-0.3)+0.3</f>
        <v>-38.600061880477789</v>
      </c>
      <c r="F3266" s="4">
        <f>((-1.2987586*(1.3/1.5))*0.6)-0.3</f>
        <v>-0.97535447200000003</v>
      </c>
    </row>
    <row r="3267" spans="1:6" x14ac:dyDescent="0.4">
      <c r="A3267" s="4">
        <v>2856.9301249999999</v>
      </c>
      <c r="B3267" s="4">
        <v>1.3960167999999999</v>
      </c>
      <c r="C3267" s="4">
        <v>1.4267052</v>
      </c>
      <c r="D3267" s="4">
        <v>-30.896833000000001</v>
      </c>
      <c r="E3267" s="4">
        <f>(((((((((-30.3039459/(10/9))+-10.5)+-0.4)*0.98)*1.11)*0.85)-6.5)+3.2)+-0.3)+0.3</f>
        <v>-38.596410747765297</v>
      </c>
      <c r="F3267" s="4">
        <f>((-1.296728*(1.3/1.5))*0.6)-0.3</f>
        <v>-0.97429856000000004</v>
      </c>
    </row>
    <row r="3268" spans="1:6" x14ac:dyDescent="0.4">
      <c r="A3268" s="4">
        <v>2857.8050499999999</v>
      </c>
      <c r="B3268" s="4">
        <v>1.3964467</v>
      </c>
      <c r="C3268" s="4">
        <v>1.4270741</v>
      </c>
      <c r="D3268" s="4">
        <v>-30.900455000000001</v>
      </c>
      <c r="E3268" s="4">
        <f>(((((((((-30.2909238/(10/9))+-10.5)+-0.4)*0.98)*1.11)*0.85)-6.5)+3.2)+-0.3)+0.3</f>
        <v>-38.585574185874592</v>
      </c>
      <c r="F3268" s="4">
        <f>((-1.2947581*(1.3/1.5))*0.6)-0.3</f>
        <v>-0.97327421199999997</v>
      </c>
    </row>
    <row r="3269" spans="1:6" x14ac:dyDescent="0.4">
      <c r="A3269" s="4">
        <v>2858.679975</v>
      </c>
      <c r="B3269" s="4">
        <v>1.3965774</v>
      </c>
      <c r="C3269" s="4">
        <v>1.4276774999999999</v>
      </c>
      <c r="D3269" s="4">
        <v>-30.904456</v>
      </c>
      <c r="E3269" s="4">
        <f>(((((((((-30.2797521/(10/9))+-10.5)+-0.4)*0.98)*1.11)*0.85)-6.5)+3.2)+-0.3)+0.3</f>
        <v>-38.576277465800693</v>
      </c>
      <c r="F3269" s="4">
        <f>((-1.2928941*(1.3/1.5))*0.6)-0.3</f>
        <v>-0.9723049319999999</v>
      </c>
    </row>
    <row r="3270" spans="1:6" x14ac:dyDescent="0.4">
      <c r="A3270" s="4">
        <v>2859.5549000000001</v>
      </c>
      <c r="B3270" s="4">
        <v>1.3969251</v>
      </c>
      <c r="C3270" s="4">
        <v>1.4276419</v>
      </c>
      <c r="D3270" s="4">
        <v>-30.908619999999999</v>
      </c>
      <c r="E3270" s="4">
        <f>(((((((((-30.3036228/(10/9))+-10.5)+-0.4)*0.98)*1.11)*0.85)-6.5)+3.2)+-0.3)+0.3</f>
        <v>-38.596141874607589</v>
      </c>
      <c r="F3270" s="4">
        <f>((-1.2910808*(1.3/1.5))*0.6)-0.3</f>
        <v>-0.97136201600000005</v>
      </c>
    </row>
    <row r="3271" spans="1:6" x14ac:dyDescent="0.4">
      <c r="A3271" s="4">
        <v>2860.4298250000002</v>
      </c>
      <c r="B3271" s="4">
        <v>1.3969631</v>
      </c>
      <c r="C3271" s="4">
        <v>1.4275998999999999</v>
      </c>
      <c r="D3271" s="4">
        <v>-30.912514999999999</v>
      </c>
      <c r="E3271" s="4">
        <f>(((((((((-30.3109533/(10/9))+-10.5)+-0.4)*0.98)*1.11)*0.85)-6.5)+3.2)+-0.3)+0.3</f>
        <v>-38.60224207480109</v>
      </c>
      <c r="F3271" s="4">
        <f>((-1.2893547*(1.3/1.5))*0.6)-0.3</f>
        <v>-0.97046444400000009</v>
      </c>
    </row>
    <row r="3272" spans="1:6" x14ac:dyDescent="0.4">
      <c r="A3272" s="4">
        <v>2861.3047499999998</v>
      </c>
      <c r="B3272" s="4">
        <v>1.397259</v>
      </c>
      <c r="C3272" s="4">
        <v>1.4275800999999999</v>
      </c>
      <c r="D3272" s="4">
        <v>-30.916425</v>
      </c>
      <c r="E3272" s="4">
        <f>(((((((((-30.2850666/(10/9))+-10.5)+-0.4)*0.98)*1.11)*0.85)-6.5)+3.2)+-0.3)+0.3</f>
        <v>-38.580700017322201</v>
      </c>
      <c r="F3272" s="4">
        <f>((-1.2877262*(1.3/1.5))*0.6)-0.3</f>
        <v>-0.96961762400000007</v>
      </c>
    </row>
    <row r="3273" spans="1:6" x14ac:dyDescent="0.4">
      <c r="A3273" s="4">
        <v>2862.1796749999999</v>
      </c>
      <c r="B3273" s="4">
        <v>1.3970206999999999</v>
      </c>
      <c r="C3273" s="4">
        <v>1.4279511</v>
      </c>
      <c r="D3273" s="4">
        <v>-30.920262999999998</v>
      </c>
      <c r="E3273" s="4">
        <f>(((((((((-30.2854203/(10/9))+-10.5)+-0.4)*0.98)*1.11)*0.85)-6.5)+3.2)+-0.3)+0.3</f>
        <v>-38.5809943547901</v>
      </c>
      <c r="F3273" s="4">
        <f>((-1.286191*(1.3/1.5))*0.6)-0.3</f>
        <v>-0.96881932000000015</v>
      </c>
    </row>
    <row r="3274" spans="1:6" x14ac:dyDescent="0.4">
      <c r="A3274" s="4">
        <v>2863.0545999999999</v>
      </c>
      <c r="B3274" s="4">
        <v>1.3971785000000001</v>
      </c>
      <c r="C3274" s="4">
        <v>1.4280527999999999</v>
      </c>
      <c r="D3274" s="4">
        <v>-30.924833</v>
      </c>
      <c r="E3274" s="4">
        <f>(((((((((-30.2780763/(10/9))+-10.5)+-0.4)*0.98)*1.11)*0.85)-6.5)+3.2)+-0.3)+0.3</f>
        <v>-38.574882920342098</v>
      </c>
      <c r="F3274" s="4">
        <f>((-1.2847307*(1.3/1.5))*0.6)-0.3</f>
        <v>-0.96805996399999983</v>
      </c>
    </row>
    <row r="3275" spans="1:6" x14ac:dyDescent="0.4">
      <c r="A3275" s="4">
        <v>2863.929525</v>
      </c>
      <c r="B3275" s="4">
        <v>1.3972807</v>
      </c>
      <c r="C3275" s="4">
        <v>1.4281714000000001</v>
      </c>
      <c r="D3275" s="4">
        <v>-30.928746</v>
      </c>
      <c r="E3275" s="4">
        <f>(((((((((-30.2693661/(10/9))+-10.5)+-0.4)*0.98)*1.11)*0.85)-6.5)+3.2)+-0.3)+0.3</f>
        <v>-38.567634579338701</v>
      </c>
      <c r="F3275" s="4">
        <f>((-1.2832927*(1.3/1.5))*0.6)-0.3</f>
        <v>-0.96731220399999995</v>
      </c>
    </row>
    <row r="3276" spans="1:6" x14ac:dyDescent="0.4">
      <c r="A3276" s="4">
        <v>2864.8044500000001</v>
      </c>
      <c r="B3276" s="4">
        <v>1.3977693</v>
      </c>
      <c r="C3276" s="4">
        <v>1.4283336</v>
      </c>
      <c r="D3276" s="4">
        <v>-30.932715999999999</v>
      </c>
      <c r="E3276" s="4">
        <f>(((((((((-30.2875353/(10/9))+-10.5)+-0.4)*0.98)*1.11)*0.85)-6.5)+3.2)+-0.3)+0.3</f>
        <v>-38.582754387995088</v>
      </c>
      <c r="F3276" s="4">
        <f>((-1.2820462*(1.3/1.5))*0.6)-0.3</f>
        <v>-0.96666402399999996</v>
      </c>
    </row>
    <row r="3277" spans="1:6" x14ac:dyDescent="0.4">
      <c r="A3277" s="4">
        <v>2865.6793750000002</v>
      </c>
      <c r="B3277" s="4">
        <v>1.3981029</v>
      </c>
      <c r="C3277" s="4">
        <v>1.4287033</v>
      </c>
      <c r="D3277" s="4">
        <v>-30.937246999999999</v>
      </c>
      <c r="E3277" s="4">
        <f>(((((((((-30.2841468/(10/9))+-10.5)+-0.4)*0.98)*1.11)*0.85)-6.5)+3.2)+-0.3)+0.3</f>
        <v>-38.579934590115599</v>
      </c>
      <c r="F3277" s="4">
        <f>((-1.2810038*(1.3/1.5))*0.6)-0.3</f>
        <v>-0.96612197599999994</v>
      </c>
    </row>
    <row r="3278" spans="1:6" x14ac:dyDescent="0.4">
      <c r="A3278" s="4">
        <v>2866.5542999999998</v>
      </c>
      <c r="B3278" s="4">
        <v>1.3982289000000001</v>
      </c>
      <c r="C3278" s="4">
        <v>1.4289162</v>
      </c>
      <c r="D3278" s="4">
        <v>-30.941201</v>
      </c>
      <c r="E3278" s="4">
        <f>(((((((((-30.2735862/(10/9))+-10.5)+-0.4)*0.98)*1.11)*0.85)-6.5)+3.2)+-0.3)+0.3</f>
        <v>-38.571146407295394</v>
      </c>
      <c r="F3278" s="4">
        <f>((-1.2800779*(1.3/1.5))*0.6)-0.3</f>
        <v>-0.9656405079999999</v>
      </c>
    </row>
    <row r="3279" spans="1:6" x14ac:dyDescent="0.4">
      <c r="A3279" s="4">
        <v>2867.4292250000003</v>
      </c>
      <c r="B3279" s="4">
        <v>1.3983247999999999</v>
      </c>
      <c r="C3279" s="4">
        <v>1.4287993999999999</v>
      </c>
      <c r="D3279" s="4">
        <v>-30.945314</v>
      </c>
      <c r="E3279" s="4">
        <f>(((((((((-30.2555475/(10/9))+-10.5)+-0.4)*0.98)*1.11)*0.85)-6.5)+3.2)+-0.3)+0.3</f>
        <v>-38.5561351964325</v>
      </c>
      <c r="F3279" s="4">
        <f>((-1.2792624*(1.3/1.5))*0.6)-0.3</f>
        <v>-0.96521644800000006</v>
      </c>
    </row>
    <row r="3280" spans="1:6" x14ac:dyDescent="0.4">
      <c r="A3280" s="4">
        <v>2868.3041499999999</v>
      </c>
      <c r="B3280" s="4">
        <v>1.3984076000000001</v>
      </c>
      <c r="C3280" s="4">
        <v>1.4288624999999999</v>
      </c>
      <c r="D3280" s="4">
        <v>-30.948986999999999</v>
      </c>
      <c r="E3280" s="4">
        <f>(((((((((-30.2733144/(10/9))+-10.5)+-0.4)*0.98)*1.11)*0.85)-6.5)+3.2)+-0.3)+0.3</f>
        <v>-38.5709202243048</v>
      </c>
      <c r="F3280" s="4">
        <f>((-1.2785065*(1.3/1.5))*0.6)-0.3</f>
        <v>-0.96482338000000012</v>
      </c>
    </row>
    <row r="3281" spans="1:6" x14ac:dyDescent="0.4">
      <c r="A3281" s="4">
        <v>2869.179075</v>
      </c>
      <c r="B3281" s="4">
        <v>1.3987525999999999</v>
      </c>
      <c r="C3281" s="4">
        <v>1.4292033</v>
      </c>
      <c r="D3281" s="4">
        <v>-30.95243</v>
      </c>
      <c r="E3281" s="4">
        <f>(((((((((-30.2660397/(10/9))+-10.5)+-0.4)*0.98)*1.11)*0.85)-6.5)+3.2)+-0.3)+0.3</f>
        <v>-38.564866459029894</v>
      </c>
      <c r="F3281" s="4">
        <f>((-1.2778058*(1.3/1.5))*0.6)-0.3</f>
        <v>-0.96445901599999995</v>
      </c>
    </row>
    <row r="3282" spans="1:6" x14ac:dyDescent="0.4">
      <c r="A3282" s="4">
        <v>2870.0540000000001</v>
      </c>
      <c r="B3282" s="4">
        <v>1.398995</v>
      </c>
      <c r="C3282" s="4">
        <v>1.4291328999999999</v>
      </c>
      <c r="D3282" s="4">
        <v>-30.956277</v>
      </c>
      <c r="E3282" s="4">
        <f>(((((((((-30.2487876/(10/9))+-10.5)+-0.4)*0.98)*1.11)*0.85)-6.5)+3.2)+-0.3)+0.3</f>
        <v>-38.550509830729197</v>
      </c>
      <c r="F3282" s="4">
        <f>((-1.2772943*(1.3/1.5))*0.6)-0.3</f>
        <v>-0.96419303600000017</v>
      </c>
    </row>
    <row r="3283" spans="1:6" x14ac:dyDescent="0.4">
      <c r="A3283" s="4">
        <v>2870.9289249999997</v>
      </c>
      <c r="B3283" s="4">
        <v>1.3991848</v>
      </c>
      <c r="C3283" s="4">
        <v>1.4289879999999999</v>
      </c>
      <c r="D3283" s="4">
        <v>-30.959793999999999</v>
      </c>
      <c r="E3283" s="4">
        <f>(((((((((-30.245643/(10/9))+-10.5)+-0.4)*0.98)*1.11)*0.85)-6.5)+3.2)+-0.3)+0.3</f>
        <v>-38.547892998380995</v>
      </c>
      <c r="F3283" s="4">
        <f>((-1.2769721*(1.3/1.5))*0.6)-0.3</f>
        <v>-0.96402549199999998</v>
      </c>
    </row>
    <row r="3284" spans="1:6" x14ac:dyDescent="0.4">
      <c r="A3284" s="4">
        <v>2871.8038500000002</v>
      </c>
      <c r="B3284" s="4">
        <v>1.3988649</v>
      </c>
      <c r="C3284" s="4">
        <v>1.4288493</v>
      </c>
      <c r="D3284" s="4">
        <v>-30.962903000000001</v>
      </c>
      <c r="E3284" s="4">
        <f>(((((((((-30.2613606/(10/9))+-10.5)+-0.4)*0.98)*1.11)*0.85)-6.5)+3.2)+-0.3)+0.3</f>
        <v>-38.560972666420199</v>
      </c>
      <c r="F3284" s="4">
        <f>((-1.2767866*(1.3/1.5))*0.6)-0.3</f>
        <v>-0.96392903200000002</v>
      </c>
    </row>
    <row r="3285" spans="1:6" x14ac:dyDescent="0.4">
      <c r="A3285" s="4">
        <v>2872.6787749999999</v>
      </c>
      <c r="B3285" s="4">
        <v>1.3988757000000001</v>
      </c>
      <c r="C3285" s="4">
        <v>1.4290391</v>
      </c>
      <c r="D3285" s="4">
        <v>-30.966543999999999</v>
      </c>
      <c r="E3285" s="4">
        <f>(((((((((-30.2444307/(10/9))+-10.5)+-0.4)*0.98)*1.11)*0.85)-6.5)+3.2)+-0.3)+0.3</f>
        <v>-38.54688416232689</v>
      </c>
      <c r="F3285" s="4">
        <f>((-1.2767905*(1.3/1.5))*0.6)-0.3</f>
        <v>-0.96393105999999995</v>
      </c>
    </row>
    <row r="3286" spans="1:6" x14ac:dyDescent="0.4">
      <c r="A3286" s="4">
        <v>2873.5537000000004</v>
      </c>
      <c r="B3286" s="4">
        <v>1.3991024000000001</v>
      </c>
      <c r="C3286" s="4">
        <v>1.4290849999999999</v>
      </c>
      <c r="D3286" s="4">
        <v>-30.969842</v>
      </c>
      <c r="E3286" s="4">
        <f>(((((((((-30.2629428/(10/9))+-10.5)+-0.4)*0.98)*1.11)*0.85)-6.5)+3.2)+-0.3)+0.3</f>
        <v>-38.562289321047601</v>
      </c>
      <c r="F3286" s="4">
        <f>((-1.2769319*(1.3/1.5))*0.6)-0.3</f>
        <v>-0.96400458799999988</v>
      </c>
    </row>
    <row r="3287" spans="1:6" x14ac:dyDescent="0.4">
      <c r="A3287" s="4">
        <v>2874.428625</v>
      </c>
      <c r="B3287" s="4">
        <v>1.3991583999999999</v>
      </c>
      <c r="C3287" s="4">
        <v>1.4291292</v>
      </c>
      <c r="D3287" s="4">
        <v>-30.973168999999999</v>
      </c>
      <c r="E3287" s="4">
        <f>(((((((((-30.2614533/(10/9))+-10.5)+-0.4)*0.98)*1.11)*0.85)-6.5)+3.2)+-0.3)+0.3</f>
        <v>-38.561049808301085</v>
      </c>
      <c r="F3287" s="4">
        <f>((-1.2772564*(1.3/1.5))*0.6)-0.3</f>
        <v>-0.964173328</v>
      </c>
    </row>
    <row r="3288" spans="1:6" x14ac:dyDescent="0.4">
      <c r="A3288" s="4">
        <v>2875.3035499999996</v>
      </c>
      <c r="B3288" s="4">
        <v>1.3993589</v>
      </c>
      <c r="C3288" s="4">
        <v>1.4293134000000001</v>
      </c>
      <c r="D3288" s="4">
        <v>-30.975687999999998</v>
      </c>
      <c r="E3288" s="4">
        <f>(((((((((-30.2514795/(10/9))+-10.5)+-0.4)*0.98)*1.11)*0.85)-6.5)+3.2)+-0.3)+0.3</f>
        <v>-38.552749941076499</v>
      </c>
      <c r="F3288" s="4">
        <f>((-1.2777048*(1.3/1.5))*0.6)-0.3</f>
        <v>-0.96440649600000006</v>
      </c>
    </row>
    <row r="3289" spans="1:6" x14ac:dyDescent="0.4">
      <c r="A3289" s="4">
        <v>2876.1784750000002</v>
      </c>
      <c r="B3289" s="4">
        <v>1.3998569999999999</v>
      </c>
      <c r="C3289" s="4">
        <v>1.4292742000000001</v>
      </c>
      <c r="D3289" s="4">
        <v>-30.978659999999998</v>
      </c>
      <c r="E3289" s="4">
        <f>(((((((((-30.2458248/(10/9))+-10.5)+-0.4)*0.98)*1.11)*0.85)-6.5)+3.2)+-0.3)+0.3</f>
        <v>-38.5480442863416</v>
      </c>
      <c r="F3289" s="4">
        <f>((-1.2782383*(1.3/1.5))*0.6)-0.3</f>
        <v>-0.96468391599999981</v>
      </c>
    </row>
    <row r="3290" spans="1:6" x14ac:dyDescent="0.4">
      <c r="A3290" s="4">
        <v>2877.0533999999998</v>
      </c>
      <c r="B3290" s="4">
        <v>1.3996230000000001</v>
      </c>
      <c r="C3290" s="4">
        <v>1.4294317000000001</v>
      </c>
      <c r="D3290" s="4">
        <v>-30.981179000000001</v>
      </c>
      <c r="E3290" s="4">
        <f>(((((((((-30.2286996/(10/9))+-10.5)+-0.4)*0.98)*1.11)*0.85)-6.5)+3.2)+-0.3)+0.3</f>
        <v>-38.5337932600332</v>
      </c>
      <c r="F3290" s="4">
        <f>((-1.2789199*(1.3/1.5))*0.6)-0.3</f>
        <v>-0.96503834799999999</v>
      </c>
    </row>
    <row r="3291" spans="1:6" x14ac:dyDescent="0.4">
      <c r="A3291" s="4">
        <v>2877.9283250000003</v>
      </c>
      <c r="B3291" s="4">
        <v>1.4000305</v>
      </c>
      <c r="C3291" s="4">
        <v>1.4297759999999999</v>
      </c>
      <c r="D3291" s="4">
        <v>-30.983647999999999</v>
      </c>
      <c r="E3291" s="4">
        <f>(((((((((-30.2161167/(10/9))+-10.5)+-0.4)*0.98)*1.11)*0.85)-6.5)+3.2)+-0.3)+0.3</f>
        <v>-38.523322185888901</v>
      </c>
      <c r="F3291" s="4">
        <f>((-1.2797647*(1.3/1.5))*0.6)-0.3</f>
        <v>-0.96547764400000013</v>
      </c>
    </row>
    <row r="3292" spans="1:6" x14ac:dyDescent="0.4">
      <c r="A3292" s="4">
        <v>2878.8032499999999</v>
      </c>
      <c r="B3292" s="4">
        <v>1.4002005</v>
      </c>
      <c r="C3292" s="4">
        <v>1.4296684</v>
      </c>
      <c r="D3292" s="4">
        <v>-30.985773999999999</v>
      </c>
      <c r="E3292" s="4">
        <f>(((((((((-30.2429889/(10/9))+-10.5)+-0.4)*0.98)*1.11)*0.85)-6.5)+3.2)+-0.3)+0.3</f>
        <v>-38.545684343946299</v>
      </c>
      <c r="F3292" s="4">
        <f>((-1.2807679*(1.3/1.5))*0.6)-0.3</f>
        <v>-0.965999308</v>
      </c>
    </row>
    <row r="3293" spans="1:6" x14ac:dyDescent="0.4">
      <c r="A3293" s="4">
        <v>2879.678175</v>
      </c>
      <c r="B3293" s="4">
        <v>1.4001667</v>
      </c>
      <c r="C3293" s="4">
        <v>1.4300481</v>
      </c>
      <c r="D3293" s="4">
        <v>-30.987333</v>
      </c>
      <c r="E3293" s="4">
        <f>(((((((((-30.2159286/(10/9))+-10.5)+-0.4)*0.98)*1.11)*0.85)-6.5)+3.2)+-0.3)+0.3</f>
        <v>-38.523165655276195</v>
      </c>
      <c r="F3293" s="4">
        <f>((-1.281902*(1.3/1.5))*0.6)-0.3</f>
        <v>-0.9665890399999999</v>
      </c>
    </row>
    <row r="3294" spans="1:6" x14ac:dyDescent="0.4">
      <c r="A3294" s="4">
        <v>2880.5531000000001</v>
      </c>
      <c r="B3294" s="4">
        <v>1.4006101</v>
      </c>
      <c r="C3294" s="4">
        <v>1.4299926000000001</v>
      </c>
      <c r="D3294" s="4">
        <v>-30.988842999999999</v>
      </c>
      <c r="E3294" s="4">
        <f>(((((((((-30.2459454/(10/9))+-10.5)+-0.4)*0.98)*1.11)*0.85)-6.5)+3.2)+-0.3)+0.3</f>
        <v>-38.548144645681795</v>
      </c>
      <c r="F3294" s="4">
        <f>((-1.2831653*(1.3/1.5))*0.6)-0.3</f>
        <v>-0.96724595599999996</v>
      </c>
    </row>
    <row r="3295" spans="1:6" x14ac:dyDescent="0.4">
      <c r="A3295" s="4">
        <v>2881.4280249999997</v>
      </c>
      <c r="B3295" s="4">
        <v>1.4004673999999999</v>
      </c>
      <c r="C3295" s="4">
        <v>1.4300984999999999</v>
      </c>
      <c r="D3295" s="4">
        <v>-30.989979999999999</v>
      </c>
      <c r="E3295" s="4">
        <f>(((((((((-30.2521383/(10/9))+-10.5)+-0.4)*0.98)*1.11)*0.85)-6.5)+3.2)+-0.3)+0.3</f>
        <v>-38.553298172696103</v>
      </c>
      <c r="F3295" s="4">
        <f>((-1.2845305*(1.3/1.5))*0.6)-0.3</f>
        <v>-0.96795586</v>
      </c>
    </row>
    <row r="3296" spans="1:6" x14ac:dyDescent="0.4">
      <c r="A3296" s="4">
        <v>2882.3029500000002</v>
      </c>
      <c r="B3296" s="4">
        <v>1.4007347000000001</v>
      </c>
      <c r="C3296" s="4">
        <v>1.4299594</v>
      </c>
      <c r="D3296" s="4">
        <v>-30.991039000000001</v>
      </c>
      <c r="E3296" s="4">
        <f>(((((((((-30.2164056/(10/9))+-10.5)+-0.4)*0.98)*1.11)*0.85)-6.5)+3.2)+-0.3)+0.3</f>
        <v>-38.5235625989352</v>
      </c>
      <c r="F3296" s="4">
        <f>((-1.2860702*(1.3/1.5))*0.6)-0.3</f>
        <v>-0.96875650399999991</v>
      </c>
    </row>
    <row r="3297" spans="1:6" x14ac:dyDescent="0.4">
      <c r="A3297" s="4">
        <v>2883.1778749999999</v>
      </c>
      <c r="B3297" s="4">
        <v>1.4005846</v>
      </c>
      <c r="C3297" s="4">
        <v>1.4303945</v>
      </c>
      <c r="D3297" s="4">
        <v>-30.992100999999998</v>
      </c>
      <c r="E3297" s="4">
        <f>(((((((((-30.2634918/(10/9))+-10.5)+-0.4)*0.98)*1.11)*0.85)-6.5)+3.2)+-0.3)+0.3</f>
        <v>-38.562746180730592</v>
      </c>
      <c r="F3297" s="4">
        <f>((-1.2877005*(1.3/1.5))*0.6)-0.3</f>
        <v>-0.96960425999999988</v>
      </c>
    </row>
    <row r="3298" spans="1:6" x14ac:dyDescent="0.4">
      <c r="A3298" s="4">
        <v>2884.0527999999999</v>
      </c>
      <c r="B3298" s="4">
        <v>1.4009535</v>
      </c>
      <c r="C3298" s="4">
        <v>1.4305585999999999</v>
      </c>
      <c r="D3298" s="4">
        <v>-30.992958999999999</v>
      </c>
      <c r="E3298" s="4">
        <f>(((((((((-30.2248683/(10/9))+-10.5)+-0.4)*0.98)*1.11)*0.85)-6.5)+3.2)+-0.3)+0.3</f>
        <v>-38.5306049786061</v>
      </c>
      <c r="F3298" s="4">
        <f>((-1.2894917*(1.3/1.5))*0.6)-0.3</f>
        <v>-0.9705356839999999</v>
      </c>
    </row>
    <row r="3299" spans="1:6" x14ac:dyDescent="0.4">
      <c r="A3299" s="4">
        <v>2884.927725</v>
      </c>
      <c r="B3299" s="4">
        <v>1.4013865999999999</v>
      </c>
      <c r="C3299" s="4">
        <v>1.4303657000000001</v>
      </c>
      <c r="D3299" s="4">
        <v>-30.993372999999998</v>
      </c>
      <c r="E3299" s="4">
        <f>(((((((((-30.2494473/(10/9))+-10.5)+-0.4)*0.98)*1.11)*0.85)-6.5)+3.2)+-0.3)+0.3</f>
        <v>-38.551058811299093</v>
      </c>
      <c r="F3299" s="4">
        <f>((-1.2913939*(1.3/1.5))*0.6)-0.3</f>
        <v>-0.97152482799999995</v>
      </c>
    </row>
    <row r="3300" spans="1:6" x14ac:dyDescent="0.4">
      <c r="A3300" s="4">
        <v>2885.8026500000001</v>
      </c>
      <c r="B3300" s="4">
        <v>1.4011381000000001</v>
      </c>
      <c r="C3300" s="4">
        <v>1.4308093</v>
      </c>
      <c r="D3300" s="4">
        <v>-30.993176999999999</v>
      </c>
      <c r="E3300" s="4">
        <f>(((((((((-30.2582322/(10/9))+-10.5)+-0.4)*0.98)*1.11)*0.85)-6.5)+3.2)+-0.3)+0.3</f>
        <v>-38.558369315177401</v>
      </c>
      <c r="F3300" s="4">
        <f>((-1.2933664*(1.3/1.5))*0.6)-0.3</f>
        <v>-0.97255052799999997</v>
      </c>
    </row>
    <row r="3301" spans="1:6" x14ac:dyDescent="0.4">
      <c r="A3301" s="4">
        <v>2886.6775750000002</v>
      </c>
      <c r="B3301" s="4">
        <v>1.4012496000000001</v>
      </c>
      <c r="C3301" s="4">
        <v>1.4306121999999999</v>
      </c>
      <c r="D3301" s="4">
        <v>-30.992522000000001</v>
      </c>
      <c r="E3301" s="4">
        <f>(((((((((-30.2354217/(10/9))+-10.5)+-0.4)*0.98)*1.11)*0.85)-6.5)+3.2)+-0.3)+0.3</f>
        <v>-38.539387169823897</v>
      </c>
      <c r="F3301" s="4">
        <f>((-1.2954274*(1.3/1.5))*0.6)-0.3</f>
        <v>-0.97362224800000008</v>
      </c>
    </row>
    <row r="3302" spans="1:6" x14ac:dyDescent="0.4">
      <c r="A3302" s="4">
        <v>2887.5524999999998</v>
      </c>
      <c r="B3302" s="4">
        <v>1.4016027</v>
      </c>
      <c r="C3302" s="4">
        <v>1.4309472000000001</v>
      </c>
      <c r="D3302" s="4">
        <v>-30.991924999999998</v>
      </c>
      <c r="E3302" s="4">
        <f>(((((((((-30.2477886/(10/9))+-10.5)+-0.4)*0.98)*1.11)*0.85)-6.5)+3.2)+-0.3)+0.3</f>
        <v>-38.549678495896195</v>
      </c>
      <c r="F3302" s="4">
        <f>((-1.2975981*(1.3/1.5))*0.6)-0.3</f>
        <v>-0.97475101200000003</v>
      </c>
    </row>
    <row r="3303" spans="1:6" x14ac:dyDescent="0.4">
      <c r="A3303" s="4">
        <v>2888.4274249999999</v>
      </c>
      <c r="B3303" s="4">
        <v>1.4014238000000001</v>
      </c>
      <c r="C3303" s="4">
        <v>1.4308438999999999</v>
      </c>
      <c r="D3303" s="4">
        <v>-30.991530999999998</v>
      </c>
      <c r="E3303" s="4">
        <f>(((((((((-30.2448393/(10/9))+-10.5)+-0.4)*0.98)*1.11)*0.85)-6.5)+3.2)+-0.3)+0.3</f>
        <v>-38.547224185763092</v>
      </c>
      <c r="F3303" s="4">
        <f>((-1.2998229*(1.3/1.5))*0.6)-0.3</f>
        <v>-0.97590790799999994</v>
      </c>
    </row>
    <row r="3304" spans="1:6" x14ac:dyDescent="0.4">
      <c r="A3304" s="4">
        <v>2889.3023499999999</v>
      </c>
      <c r="B3304" s="4">
        <v>1.4015740000000001</v>
      </c>
      <c r="C3304" s="4">
        <v>1.4309506000000001</v>
      </c>
      <c r="D3304" s="4">
        <v>-30.990553999999999</v>
      </c>
      <c r="E3304" s="4">
        <f>(((((((((-30.2306292/(10/9))+-10.5)+-0.4)*0.98)*1.11)*0.85)-6.5)+3.2)+-0.3)+0.3</f>
        <v>-38.535399009476393</v>
      </c>
      <c r="F3304" s="4">
        <f>((-1.3021621*(1.3/1.5))*0.6)-0.3</f>
        <v>-0.97712429200000006</v>
      </c>
    </row>
    <row r="3305" spans="1:6" x14ac:dyDescent="0.4">
      <c r="A3305" s="4">
        <v>2890.177275</v>
      </c>
      <c r="B3305" s="4">
        <v>1.4018446</v>
      </c>
      <c r="C3305" s="4">
        <v>1.4309025</v>
      </c>
      <c r="D3305" s="4">
        <v>-30.989578999999999</v>
      </c>
      <c r="E3305" s="4">
        <f>(((((((((-30.2379354/(10/9))+-10.5)+-0.4)*0.98)*1.11)*0.85)-6.5)+3.2)+-0.3)+0.3</f>
        <v>-38.541478988011797</v>
      </c>
      <c r="F3305" s="4">
        <f>((-1.304468*(1.3/1.5))*0.6)-0.3</f>
        <v>-0.97832335999999986</v>
      </c>
    </row>
    <row r="3306" spans="1:6" x14ac:dyDescent="0.4">
      <c r="A3306" s="4">
        <v>2891.0522000000001</v>
      </c>
      <c r="B3306" s="4">
        <v>1.4017576</v>
      </c>
      <c r="C3306" s="4">
        <v>1.4313241999999999</v>
      </c>
      <c r="D3306" s="4">
        <v>-30.988174000000001</v>
      </c>
      <c r="E3306" s="4">
        <f>(((((((((-30.2504427/(10/9))+-10.5)+-0.4)*0.98)*1.11)*0.85)-6.5)+3.2)+-0.3)+0.3</f>
        <v>-38.551887150330899</v>
      </c>
      <c r="F3306" s="4">
        <f>((-1.3069298*(1.3/1.5))*0.6)-0.3</f>
        <v>-0.97960349599999996</v>
      </c>
    </row>
    <row r="3307" spans="1:6" x14ac:dyDescent="0.4">
      <c r="A3307" s="4">
        <v>2891.9271250000002</v>
      </c>
      <c r="B3307" s="4">
        <v>1.401983</v>
      </c>
      <c r="C3307" s="4">
        <v>1.4312267000000001</v>
      </c>
      <c r="D3307" s="4">
        <v>-30.986331</v>
      </c>
      <c r="E3307" s="4">
        <f>(((((((((-30.2244426/(10/9))+-10.5)+-0.4)*0.98)*1.11)*0.85)-6.5)+3.2)+-0.3)+0.3</f>
        <v>-38.5302507251142</v>
      </c>
      <c r="F3307" s="4">
        <f>((-1.3094716*(1.3/1.5))*0.6)-0.3</f>
        <v>-0.98092523199999992</v>
      </c>
    </row>
    <row r="3308" spans="1:6" x14ac:dyDescent="0.4">
      <c r="A3308" s="4">
        <v>2892.8020499999998</v>
      </c>
      <c r="B3308" s="4">
        <v>1.4021899</v>
      </c>
      <c r="C3308" s="4">
        <v>1.4314058000000001</v>
      </c>
      <c r="D3308" s="4">
        <v>-30.984489</v>
      </c>
      <c r="E3308" s="4">
        <f>(((((((((-30.2267394/(10/9))+-10.5)+-0.4)*0.98)*1.11)*0.85)-6.5)+3.2)+-0.3)+0.3</f>
        <v>-38.532162046279794</v>
      </c>
      <c r="F3308" s="4">
        <f>((-1.3121229*(1.3/1.5))*0.6)-0.3</f>
        <v>-0.982303908</v>
      </c>
    </row>
    <row r="3309" spans="1:6" x14ac:dyDescent="0.4">
      <c r="A3309" s="4">
        <v>2893.6769750000003</v>
      </c>
      <c r="B3309" s="4">
        <v>1.4024053999999999</v>
      </c>
      <c r="C3309" s="4">
        <v>1.4314503999999999</v>
      </c>
      <c r="D3309" s="4">
        <v>-30.982392999999998</v>
      </c>
      <c r="E3309" s="4">
        <f>(((((((((-30.2289192/(10/9))+-10.5)+-0.4)*0.98)*1.11)*0.85)-6.5)+3.2)+-0.3)+0.3</f>
        <v>-38.533976003906403</v>
      </c>
      <c r="F3309" s="4">
        <f>((-1.3147143*(1.3/1.5))*0.6)-0.3</f>
        <v>-0.98365143599999993</v>
      </c>
    </row>
    <row r="3310" spans="1:6" x14ac:dyDescent="0.4">
      <c r="A3310" s="4">
        <v>2894.5518999999999</v>
      </c>
      <c r="B3310" s="4">
        <v>1.4021486000000001</v>
      </c>
      <c r="C3310" s="4">
        <v>1.4316504000000001</v>
      </c>
      <c r="D3310" s="4">
        <v>-30.980412999999999</v>
      </c>
      <c r="E3310" s="4">
        <f>(((((((((-30.2308659/(10/9))+-10.5)+-0.4)*0.98)*1.11)*0.85)-6.5)+3.2)+-0.3)+0.3</f>
        <v>-38.535595983405294</v>
      </c>
      <c r="F3310" s="4">
        <f>((-1.3172965*(1.3/1.5))*0.6)-0.3</f>
        <v>-0.98499417999999994</v>
      </c>
    </row>
    <row r="3311" spans="1:6" x14ac:dyDescent="0.4">
      <c r="A3311" s="4">
        <v>2895.426825</v>
      </c>
      <c r="B3311" s="4">
        <v>1.4026314</v>
      </c>
      <c r="C3311" s="4">
        <v>1.4311992</v>
      </c>
      <c r="D3311" s="4">
        <v>-30.977989999999998</v>
      </c>
      <c r="E3311" s="4">
        <f>(((((((((-30.2556402/(10/9))+-10.5)+-0.4)*0.98)*1.11)*0.85)-6.5)+3.2)+-0.3)+0.3</f>
        <v>-38.556212338313401</v>
      </c>
      <c r="F3311" s="4">
        <f>((-1.319852*(1.3/1.5))*0.6)-0.3</f>
        <v>-0.98632304000000004</v>
      </c>
    </row>
    <row r="3312" spans="1:6" x14ac:dyDescent="0.4">
      <c r="A3312" s="4">
        <v>2896.3017500000001</v>
      </c>
      <c r="B3312" s="4">
        <v>1.4024894999999999</v>
      </c>
      <c r="C3312" s="4">
        <v>1.4313830999999999</v>
      </c>
      <c r="D3312" s="4">
        <v>-30.975252999999999</v>
      </c>
      <c r="E3312" s="4">
        <f>(((((((((-30.2379282/(10/9))+-10.5)+-0.4)*0.98)*1.11)*0.85)-6.5)+3.2)+-0.3)+0.3</f>
        <v>-38.541472996409397</v>
      </c>
      <c r="F3312" s="4">
        <f>((-1.322536*(1.3/1.5))*0.6)-0.3</f>
        <v>-0.98771871999999994</v>
      </c>
    </row>
    <row r="3313" spans="1:6" x14ac:dyDescent="0.4">
      <c r="A3313" s="4">
        <v>2897.1766749999997</v>
      </c>
      <c r="B3313" s="4">
        <v>1.4024892</v>
      </c>
      <c r="C3313" s="4">
        <v>1.4317101000000001</v>
      </c>
      <c r="D3313" s="4">
        <v>-30.972418999999999</v>
      </c>
      <c r="E3313" s="4">
        <f>(((((((((-30.2403798/(10/9))+-10.5)+-0.4)*0.98)*1.11)*0.85)-6.5)+3.2)+-0.3)+0.3</f>
        <v>-38.543513137026594</v>
      </c>
      <c r="F3313" s="4">
        <f>((-1.3252345*(1.3/1.5))*0.6)-0.3</f>
        <v>-0.98912193999999998</v>
      </c>
    </row>
    <row r="3314" spans="1:6" x14ac:dyDescent="0.4">
      <c r="A3314" s="4">
        <v>2898.0516000000002</v>
      </c>
      <c r="B3314" s="4">
        <v>1.4028392000000001</v>
      </c>
      <c r="C3314" s="4">
        <v>1.4314317000000001</v>
      </c>
      <c r="D3314" s="4">
        <v>-30.969265999999998</v>
      </c>
      <c r="E3314" s="4">
        <f>(((((((((-30.2307669/(10/9))+-10.5)+-0.4)*0.98)*1.11)*0.85)-6.5)+3.2)+-0.3)+0.3</f>
        <v>-38.535513598872285</v>
      </c>
      <c r="F3314" s="4">
        <f>((-1.3279071*(1.3/1.5))*0.6)-0.3</f>
        <v>-0.99051169200000011</v>
      </c>
    </row>
    <row r="3315" spans="1:6" x14ac:dyDescent="0.4">
      <c r="A3315" s="4">
        <v>2898.9265249999999</v>
      </c>
      <c r="B3315" s="4">
        <v>1.4023129000000001</v>
      </c>
      <c r="C3315" s="4">
        <v>1.4315667999999999</v>
      </c>
      <c r="D3315" s="4">
        <v>-30.966435999999998</v>
      </c>
      <c r="E3315" s="4">
        <f>(((((((((-30.2545485/(10/9))+-10.5)+-0.4)*0.98)*1.11)*0.85)-6.5)+3.2)+-0.3)+0.3</f>
        <v>-38.555303861599491</v>
      </c>
      <c r="F3315" s="4">
        <f>((-1.3306062*(1.3/1.5))*0.6)-0.3</f>
        <v>-0.99191522399999998</v>
      </c>
    </row>
    <row r="3316" spans="1:6" x14ac:dyDescent="0.4">
      <c r="A3316" s="4">
        <v>2899.8014500000004</v>
      </c>
      <c r="B3316" s="4">
        <v>1.4027951000000001</v>
      </c>
      <c r="C3316" s="4">
        <v>1.4315263</v>
      </c>
      <c r="D3316" s="4">
        <v>-30.962778999999998</v>
      </c>
      <c r="E3316" s="4">
        <f>(((((((((-30.2568012/(10/9))+-10.5)+-0.4)*0.98)*1.11)*0.85)-6.5)+3.2)+-0.3)+0.3</f>
        <v>-38.557178484200399</v>
      </c>
      <c r="F3316" s="4">
        <f>((-1.3332076*(1.3/1.5))*0.6)-0.3</f>
        <v>-0.99326795199999984</v>
      </c>
    </row>
    <row r="3317" spans="1:6" x14ac:dyDescent="0.4">
      <c r="A3317" s="4">
        <v>2900.676375</v>
      </c>
      <c r="B3317" s="4">
        <v>1.4029102</v>
      </c>
      <c r="C3317" s="4">
        <v>1.4316344999999999</v>
      </c>
      <c r="D3317" s="4">
        <v>-30.959253999999998</v>
      </c>
      <c r="E3317" s="4">
        <f>(((((((((-30.2295825/(10/9))+-10.5)+-0.4)*0.98)*1.11)*0.85)-6.5)+3.2)+-0.3)+0.3</f>
        <v>-38.534527980277495</v>
      </c>
      <c r="F3317" s="4">
        <f>((-1.3357233*(1.3/1.5))*0.6)-0.3</f>
        <v>-0.99457611599999995</v>
      </c>
    </row>
    <row r="3318" spans="1:6" x14ac:dyDescent="0.4">
      <c r="A3318" s="4">
        <v>2901.5512999999996</v>
      </c>
      <c r="B3318" s="4">
        <v>1.4029644999999999</v>
      </c>
      <c r="C3318" s="4">
        <v>1.4316742</v>
      </c>
      <c r="D3318" s="4">
        <v>-30.955019999999998</v>
      </c>
      <c r="E3318" s="4">
        <f>(((((((((-30.2529249/(10/9))+-10.5)+-0.4)*0.98)*1.11)*0.85)-6.5)+3.2)+-0.3)+0.3</f>
        <v>-38.553952755258301</v>
      </c>
      <c r="F3318" s="4">
        <f>((-1.3382459*(1.3/1.5))*0.6)-0.3</f>
        <v>-0.99588786800000006</v>
      </c>
    </row>
    <row r="3319" spans="1:6" x14ac:dyDescent="0.4">
      <c r="A3319" s="4">
        <v>2902.4262250000002</v>
      </c>
      <c r="B3319" s="4">
        <v>1.4033017000000001</v>
      </c>
      <c r="C3319" s="4">
        <v>1.4317892000000001</v>
      </c>
      <c r="D3319" s="4">
        <v>-30.95148</v>
      </c>
      <c r="E3319" s="4">
        <f>(((((((((-30.256272/(10/9))+-10.5)+-0.4)*0.98)*1.11)*0.85)-6.5)+3.2)+-0.3)+0.3</f>
        <v>-38.556738101423988</v>
      </c>
      <c r="F3319" s="4">
        <f>((-1.3407764*(1.3/1.5))*0.6)-0.3</f>
        <v>-0.9972037279999999</v>
      </c>
    </row>
    <row r="3320" spans="1:6" x14ac:dyDescent="0.4">
      <c r="A3320" s="4">
        <v>2903.3011499999998</v>
      </c>
      <c r="B3320" s="4">
        <v>1.4032496000000001</v>
      </c>
      <c r="C3320" s="4">
        <v>1.4319793000000001</v>
      </c>
      <c r="D3320" s="4">
        <v>-30.947445999999999</v>
      </c>
      <c r="E3320" s="4">
        <f>(((((((((-30.2780799/(10/9))+-10.5)+-0.4)*0.98)*1.11)*0.85)-6.5)+3.2)+-0.3)+0.3</f>
        <v>-38.574885916143288</v>
      </c>
      <c r="F3320" s="4">
        <f>((-1.343286*(1.3/1.5))*0.6)-0.3</f>
        <v>-0.99850872000000002</v>
      </c>
    </row>
    <row r="3321" spans="1:6" x14ac:dyDescent="0.4">
      <c r="A3321" s="4">
        <v>2904.1760750000003</v>
      </c>
      <c r="B3321" s="4">
        <v>1.4031745</v>
      </c>
      <c r="C3321" s="4">
        <v>1.4316887</v>
      </c>
      <c r="D3321" s="4">
        <v>-30.943854999999999</v>
      </c>
      <c r="E3321" s="4">
        <f>(((((((((-30.2538933/(10/9))+-10.5)+-0.4)*0.98)*1.11)*0.85)-6.5)+3.2)+-0.3)+0.3</f>
        <v>-38.554758625781098</v>
      </c>
      <c r="F3321" s="4">
        <f>((-1.3457021*(1.3/1.5))*0.6)-0.3</f>
        <v>-0.99976509199999986</v>
      </c>
    </row>
    <row r="3322" spans="1:6" x14ac:dyDescent="0.4">
      <c r="A3322" s="4">
        <v>2905.0509999999999</v>
      </c>
      <c r="B3322" s="4">
        <v>1.4035892000000001</v>
      </c>
      <c r="C3322" s="4">
        <v>1.4320533</v>
      </c>
      <c r="D3322" s="4">
        <v>-30.939814999999999</v>
      </c>
      <c r="E3322" s="4">
        <f>(((((((((-30.2564367/(10/9))+-10.5)+-0.4)*0.98)*1.11)*0.85)-6.5)+3.2)+-0.3)+0.3</f>
        <v>-38.556875159328897</v>
      </c>
      <c r="F3322" s="4">
        <f>((-1.3480034*(1.3/1.5))*0.6)-0.3</f>
        <v>-1.000961768</v>
      </c>
    </row>
    <row r="3323" spans="1:6" x14ac:dyDescent="0.4">
      <c r="A3323" s="4">
        <v>2905.925925</v>
      </c>
      <c r="B3323" s="4">
        <v>1.4037194</v>
      </c>
      <c r="C3323" s="4">
        <v>1.4320567</v>
      </c>
      <c r="D3323" s="4">
        <v>-30.935728999999998</v>
      </c>
      <c r="E3323" s="4">
        <f>(((((((((-30.2505624/(10/9))+-10.5)+-0.4)*0.98)*1.11)*0.85)-6.5)+3.2)+-0.3)+0.3</f>
        <v>-38.551986760720794</v>
      </c>
      <c r="F3323" s="4">
        <f>((-1.350215*(1.3/1.5))*0.6)-0.3</f>
        <v>-1.0021118</v>
      </c>
    </row>
    <row r="3324" spans="1:6" x14ac:dyDescent="0.4">
      <c r="A3324" s="4">
        <v>2906.8008500000001</v>
      </c>
      <c r="B3324" s="4">
        <v>1.4032646</v>
      </c>
      <c r="C3324" s="4">
        <v>1.4321491</v>
      </c>
      <c r="D3324" s="4">
        <v>-30.931498999999999</v>
      </c>
      <c r="E3324" s="4">
        <f>(((((((((-30.2587749/(10/9))+-10.5)+-0.4)*0.98)*1.11)*0.85)-6.5)+3.2)+-0.3)+0.3</f>
        <v>-38.558820932208292</v>
      </c>
      <c r="F3324" s="4">
        <f>((-1.3523672*(1.3/1.5))*0.6)-0.3</f>
        <v>-1.003230944</v>
      </c>
    </row>
    <row r="3325" spans="1:6" x14ac:dyDescent="0.4">
      <c r="A3325" s="4">
        <v>2907.6757749999997</v>
      </c>
      <c r="B3325" s="4">
        <v>1.4035134</v>
      </c>
      <c r="C3325" s="4">
        <v>1.4319272000000001</v>
      </c>
      <c r="D3325" s="4">
        <v>-30.927246999999998</v>
      </c>
      <c r="E3325" s="4">
        <f>(((((((((-30.2562999/(10/9))+-10.5)+-0.4)*0.98)*1.11)*0.85)-6.5)+3.2)+-0.3)+0.3</f>
        <v>-38.556761318883289</v>
      </c>
      <c r="F3325" s="4">
        <f>((-1.3544061*(1.3/1.5))*0.6)-0.3</f>
        <v>-1.0042911720000001</v>
      </c>
    </row>
    <row r="3326" spans="1:6" x14ac:dyDescent="0.4">
      <c r="A3326" s="4">
        <v>2908.5507000000002</v>
      </c>
      <c r="B3326" s="4">
        <v>1.4038995999999999</v>
      </c>
      <c r="C3326" s="4">
        <v>1.4318732999999999</v>
      </c>
      <c r="D3326" s="4">
        <v>-30.922716999999999</v>
      </c>
      <c r="E3326" s="4">
        <f>(((((((((-30.2276772/(10/9))+-10.5)+-0.4)*0.98)*1.11)*0.85)-6.5)+3.2)+-0.3)+0.3</f>
        <v>-38.532942452492392</v>
      </c>
      <c r="F3326" s="4">
        <f>((-1.3563113*(1.3/1.5))*0.6)-0.3</f>
        <v>-1.005281876</v>
      </c>
    </row>
    <row r="3327" spans="1:6" x14ac:dyDescent="0.4">
      <c r="A3327" s="4">
        <v>2909.4256249999999</v>
      </c>
      <c r="B3327" s="4">
        <v>1.4036846000000001</v>
      </c>
      <c r="C3327" s="4">
        <v>1.4319713999999999</v>
      </c>
      <c r="D3327" s="4">
        <v>-30.918286999999999</v>
      </c>
      <c r="E3327" s="4">
        <f>(((((((((-30.2623794/(10/9))+-10.5)+-0.4)*0.98)*1.11)*0.85)-6.5)+3.2)+-0.3)+0.3</f>
        <v>-38.561820478159795</v>
      </c>
      <c r="F3327" s="4">
        <f>((-1.3580974*(1.3/1.5))*0.6)-0.3</f>
        <v>-1.0062106479999999</v>
      </c>
    </row>
    <row r="3328" spans="1:6" x14ac:dyDescent="0.4">
      <c r="A3328" s="4">
        <v>2910.3005499999999</v>
      </c>
      <c r="B3328" s="4">
        <v>1.4036919000000001</v>
      </c>
      <c r="C3328" s="4">
        <v>1.4321512000000001</v>
      </c>
      <c r="D3328" s="4">
        <v>-30.913864999999998</v>
      </c>
      <c r="E3328" s="4">
        <f>(((((((((-30.2820831/(10/9))+-10.5)+-0.4)*0.98)*1.11)*0.85)-6.5)+3.2)+-0.3)+0.3</f>
        <v>-38.578217247077703</v>
      </c>
      <c r="F3328" s="4">
        <f>((-1.3597831*(1.3/1.5))*0.6)-0.3</f>
        <v>-1.0070872120000001</v>
      </c>
    </row>
    <row r="3329" spans="1:6" x14ac:dyDescent="0.4">
      <c r="A3329" s="4">
        <v>2911.175475</v>
      </c>
      <c r="B3329" s="4">
        <v>1.4036472</v>
      </c>
      <c r="C3329" s="4">
        <v>1.4318662</v>
      </c>
      <c r="D3329" s="4">
        <v>-30.909509</v>
      </c>
      <c r="E3329" s="4">
        <f>(((((((((-30.2738328/(10/9))+-10.5)+-0.4)*0.98)*1.11)*0.85)-6.5)+3.2)+-0.3)+0.3</f>
        <v>-38.571351619677593</v>
      </c>
      <c r="F3329" s="4">
        <f>((-1.3614154*(1.3/1.5))*0.6)-0.3</f>
        <v>-1.0079360079999999</v>
      </c>
    </row>
    <row r="3330" spans="1:6" x14ac:dyDescent="0.4">
      <c r="A3330" s="4">
        <v>2912.0504000000001</v>
      </c>
      <c r="B3330" s="4">
        <v>1.4040140000000001</v>
      </c>
      <c r="C3330" s="4">
        <v>1.4319820000000001</v>
      </c>
      <c r="D3330" s="4">
        <v>-30.905269000000001</v>
      </c>
      <c r="E3330" s="4">
        <f>(((((((((-30.2616522/(10/9))+-10.5)+-0.4)*0.98)*1.11)*0.85)-6.5)+3.2)+-0.3)+0.3</f>
        <v>-38.561215326317395</v>
      </c>
      <c r="F3330" s="4">
        <f>((-1.3629624*(1.3/1.5))*0.6)-0.3</f>
        <v>-1.008740448</v>
      </c>
    </row>
    <row r="3331" spans="1:6" x14ac:dyDescent="0.4">
      <c r="A3331" s="4">
        <v>2912.9253250000002</v>
      </c>
      <c r="B3331" s="4">
        <v>1.4038736999999999</v>
      </c>
      <c r="C3331" s="4">
        <v>1.4319625</v>
      </c>
      <c r="D3331" s="4">
        <v>-30.901176</v>
      </c>
      <c r="E3331" s="4">
        <f>(((((((((-30.283803/(10/9))+-10.5)+-0.4)*0.98)*1.11)*0.85)-6.5)+3.2)+-0.3)+0.3</f>
        <v>-38.579648491100997</v>
      </c>
      <c r="F3331" s="4">
        <f>((-1.3643796*(1.3/1.5))*0.6)-0.3</f>
        <v>-1.009477392</v>
      </c>
    </row>
    <row r="3332" spans="1:6" x14ac:dyDescent="0.4">
      <c r="A3332" s="4">
        <v>2913.8002499999998</v>
      </c>
      <c r="B3332" s="4">
        <v>1.4039435</v>
      </c>
      <c r="C3332" s="4">
        <v>1.4317925</v>
      </c>
      <c r="D3332" s="4">
        <v>-30.897037000000001</v>
      </c>
      <c r="E3332" s="4">
        <f>(((((((((-30.2764113/(10/9))+-10.5)+-0.4)*0.98)*1.11)*0.85)-6.5)+3.2)+-0.3)+0.3</f>
        <v>-38.5734973622871</v>
      </c>
      <c r="F3332" s="4">
        <f>((-1.3656774*(1.3/1.5))*0.6)-0.3</f>
        <v>-1.010152248</v>
      </c>
    </row>
    <row r="3333" spans="1:6" x14ac:dyDescent="0.4">
      <c r="A3333" s="4">
        <v>2914.6751749999999</v>
      </c>
      <c r="B3333" s="4">
        <v>1.4040520000000001</v>
      </c>
      <c r="C3333" s="4">
        <v>1.4319869999999999</v>
      </c>
      <c r="D3333" s="4">
        <v>-30.893127</v>
      </c>
      <c r="E3333" s="4">
        <f>(((((((((-30.2670594/(10/9))+-10.5)+-0.4)*0.98)*1.11)*0.85)-6.5)+3.2)+-0.3)+0.3</f>
        <v>-38.565715019719796</v>
      </c>
      <c r="F3333" s="4">
        <f>((-1.3668706*(1.3/1.5))*0.6)-0.3</f>
        <v>-1.0107727120000001</v>
      </c>
    </row>
    <row r="3334" spans="1:6" x14ac:dyDescent="0.4">
      <c r="A3334" s="4">
        <v>2915.5500999999999</v>
      </c>
      <c r="B3334" s="4">
        <v>1.4042300999999999</v>
      </c>
      <c r="C3334" s="4">
        <v>1.4316977</v>
      </c>
      <c r="D3334" s="4">
        <v>-30.888828</v>
      </c>
      <c r="E3334" s="4">
        <f>(((((((((-30.2650884/(10/9))+-10.5)+-0.4)*0.98)*1.11)*0.85)-6.5)+3.2)+-0.3)+0.3</f>
        <v>-38.564074818562801</v>
      </c>
      <c r="F3334" s="4">
        <f>((-1.3678359*(1.3/1.5))*0.6)-0.3</f>
        <v>-1.011274668</v>
      </c>
    </row>
    <row r="3335" spans="1:6" x14ac:dyDescent="0.4">
      <c r="A3335" s="4">
        <v>2916.425025</v>
      </c>
      <c r="B3335" s="4">
        <v>1.4043485</v>
      </c>
      <c r="C3335" s="4">
        <v>1.4320272999999999</v>
      </c>
      <c r="D3335" s="4">
        <v>-30.884550999999998</v>
      </c>
      <c r="E3335" s="4">
        <f>(((((((((-30.2981436/(10/9))+-10.5)+-0.4)*0.98)*1.11)*0.85)-6.5)+3.2)+-0.3)+0.3</f>
        <v>-38.591582265181195</v>
      </c>
      <c r="F3335" s="4">
        <f>((-1.3686994*(1.3/1.5))*0.6)-0.3</f>
        <v>-1.011723688</v>
      </c>
    </row>
    <row r="3336" spans="1:6" x14ac:dyDescent="0.4">
      <c r="A3336" s="4">
        <v>2917.2999500000001</v>
      </c>
      <c r="B3336" s="4">
        <v>1.4042186000000001</v>
      </c>
      <c r="C3336" s="4">
        <v>1.4318565000000001</v>
      </c>
      <c r="D3336" s="4">
        <v>-30.880897000000001</v>
      </c>
      <c r="E3336" s="4">
        <f>(((((((((-30.3074757/(10/9))+-10.5)+-0.4)*0.98)*1.11)*0.85)-6.5)+3.2)+-0.3)+0.3</f>
        <v>-38.599348130841889</v>
      </c>
      <c r="F3336" s="4">
        <f>((-1.3694876*(1.3/1.5))*0.6)-0.3</f>
        <v>-1.0121335520000001</v>
      </c>
    </row>
    <row r="3337" spans="1:6" x14ac:dyDescent="0.4">
      <c r="A3337" s="4">
        <v>2918.1748750000002</v>
      </c>
      <c r="B3337" s="4">
        <v>1.4046270999999999</v>
      </c>
      <c r="C3337" s="4">
        <v>1.4321823</v>
      </c>
      <c r="D3337" s="4">
        <v>-30.877177</v>
      </c>
      <c r="E3337" s="4">
        <f>(((((((((-30.2986656/(10/9))+-10.5)+-0.4)*0.98)*1.11)*0.85)-6.5)+3.2)+-0.3)+0.3</f>
        <v>-38.592016656355199</v>
      </c>
      <c r="F3337" s="4">
        <f>((-1.370133*(1.3/1.5))*0.6)-0.3</f>
        <v>-1.01246916</v>
      </c>
    </row>
    <row r="3338" spans="1:6" x14ac:dyDescent="0.4">
      <c r="A3338" s="4">
        <v>2919.0497999999998</v>
      </c>
      <c r="B3338" s="4">
        <v>1.4041444999999999</v>
      </c>
      <c r="C3338" s="4">
        <v>1.431718</v>
      </c>
      <c r="D3338" s="4">
        <v>-30.873335999999998</v>
      </c>
      <c r="E3338" s="4">
        <f>(((((((((-30.2922729/(10/9))+-10.5)+-0.4)*0.98)*1.11)*0.85)-6.5)+3.2)+-0.3)+0.3</f>
        <v>-38.586696862374296</v>
      </c>
      <c r="F3338" s="4">
        <f>((-1.3706088*(1.3/1.5))*0.6)-0.3</f>
        <v>-1.0127165760000001</v>
      </c>
    </row>
    <row r="3339" spans="1:6" x14ac:dyDescent="0.4">
      <c r="A3339" s="4">
        <v>2919.9247250000003</v>
      </c>
      <c r="B3339" s="4">
        <v>1.4046143</v>
      </c>
      <c r="C3339" s="4">
        <v>1.4322203</v>
      </c>
      <c r="D3339" s="4">
        <v>-30.869896999999998</v>
      </c>
      <c r="E3339" s="4">
        <f>(((((((((-30.2958369/(10/9))+-10.5)+-0.4)*0.98)*1.11)*0.85)-6.5)+3.2)+-0.3)+0.3</f>
        <v>-38.589662705562297</v>
      </c>
      <c r="F3339" s="4">
        <f>((-1.3709918*(1.3/1.5))*0.6)-0.3</f>
        <v>-1.0129157360000001</v>
      </c>
    </row>
    <row r="3340" spans="1:6" x14ac:dyDescent="0.4">
      <c r="A3340" s="4">
        <v>2920.7996499999999</v>
      </c>
      <c r="B3340" s="4">
        <v>1.4047556000000001</v>
      </c>
      <c r="C3340" s="4">
        <v>1.4323950000000001</v>
      </c>
      <c r="D3340" s="4">
        <v>-30.866349</v>
      </c>
      <c r="E3340" s="4">
        <f>(((((((((-30.290148/(10/9))+-10.5)+-0.4)*0.98)*1.11)*0.85)-6.5)+3.2)+-0.3)+0.3</f>
        <v>-38.584928590715997</v>
      </c>
      <c r="F3340" s="4">
        <f>((-1.3712515*(1.3/1.5))*0.6)-0.3</f>
        <v>-1.0130507799999999</v>
      </c>
    </row>
    <row r="3341" spans="1:6" x14ac:dyDescent="0.4">
      <c r="A3341" s="4">
        <v>2921.674575</v>
      </c>
      <c r="B3341" s="4">
        <v>1.4048448</v>
      </c>
      <c r="C3341" s="4">
        <v>1.4321423</v>
      </c>
      <c r="D3341" s="4">
        <v>-30.863658000000001</v>
      </c>
      <c r="E3341" s="4">
        <f>(((((((((-30.2926779/(10/9))+-10.5)+-0.4)*0.98)*1.11)*0.85)-6.5)+3.2)+-0.3)+0.3</f>
        <v>-38.587033890009288</v>
      </c>
      <c r="F3341" s="4">
        <f>((-1.3713962*(1.3/1.5))*0.6)-0.3</f>
        <v>-1.013126024</v>
      </c>
    </row>
    <row r="3342" spans="1:6" x14ac:dyDescent="0.4">
      <c r="A3342" s="4">
        <v>2922.5495000000001</v>
      </c>
      <c r="B3342" s="4">
        <v>1.4046510000000001</v>
      </c>
      <c r="C3342" s="4">
        <v>1.4321269999999999</v>
      </c>
      <c r="D3342" s="4">
        <v>-30.860475000000001</v>
      </c>
      <c r="E3342" s="4">
        <f>(((((((((-30.2835321/(10/9))+-10.5)+-0.4)*0.98)*1.11)*0.85)-6.5)+3.2)+-0.3)+0.3</f>
        <v>-38.579423057060694</v>
      </c>
      <c r="F3342" s="4">
        <f>((-1.3714232*(1.3/1.5))*0.6)-0.3</f>
        <v>-1.0131400639999999</v>
      </c>
    </row>
    <row r="3343" spans="1:6" x14ac:dyDescent="0.4">
      <c r="A3343" s="4">
        <v>2923.4244249999997</v>
      </c>
      <c r="B3343" s="4">
        <v>1.4046133000000001</v>
      </c>
      <c r="C3343" s="4">
        <v>1.4320629</v>
      </c>
      <c r="D3343" s="4">
        <v>-30.857420999999999</v>
      </c>
      <c r="E3343" s="4">
        <f>(((((((((-30.2893992/(10/9))+-10.5)+-0.4)*0.98)*1.11)*0.85)-6.5)+3.2)+-0.3)+0.3</f>
        <v>-38.584305464066389</v>
      </c>
      <c r="F3343" s="4">
        <f>((-1.3713464*(1.3/1.5))*0.6)-0.3</f>
        <v>-1.013100128</v>
      </c>
    </row>
    <row r="3344" spans="1:6" x14ac:dyDescent="0.4">
      <c r="A3344" s="4">
        <v>2924.2993500000002</v>
      </c>
      <c r="B3344" s="4">
        <v>1.4046954</v>
      </c>
      <c r="C3344" s="4">
        <v>1.432245</v>
      </c>
      <c r="D3344" s="4">
        <v>-30.854880999999999</v>
      </c>
      <c r="E3344" s="4">
        <f>(((((((((-30.3043203/(10/9))+-10.5)+-0.4)*0.98)*1.11)*0.85)-6.5)+3.2)+-0.3)+0.3</f>
        <v>-38.596722311090105</v>
      </c>
      <c r="F3344" s="4">
        <f>((-1.3711581*(1.3/1.5))*0.6)-0.3</f>
        <v>-1.013002212</v>
      </c>
    </row>
    <row r="3345" spans="1:6" x14ac:dyDescent="0.4">
      <c r="A3345" s="4">
        <v>2925.1742749999999</v>
      </c>
      <c r="B3345" s="4">
        <v>1.4050058999999999</v>
      </c>
      <c r="C3345" s="4">
        <v>1.4321736</v>
      </c>
      <c r="D3345" s="4">
        <v>-30.852284999999998</v>
      </c>
      <c r="E3345" s="4">
        <f>(((((((((-30.2661018/(10/9))+-10.5)+-0.4)*0.98)*1.11)*0.85)-6.5)+3.2)+-0.3)+0.3</f>
        <v>-38.564918136600589</v>
      </c>
      <c r="F3345" s="4">
        <f>((-1.3708786*(1.3/1.5))*0.6)-0.3</f>
        <v>-1.012856872</v>
      </c>
    </row>
    <row r="3346" spans="1:6" x14ac:dyDescent="0.4">
      <c r="A3346" s="4">
        <v>2926.0492000000004</v>
      </c>
      <c r="B3346" s="4">
        <v>1.4049147</v>
      </c>
      <c r="C3346" s="4">
        <v>1.4320219000000001</v>
      </c>
      <c r="D3346" s="4">
        <v>-30.849848999999999</v>
      </c>
      <c r="E3346" s="4">
        <f>(((((((((-30.2646042/(10/9))+-10.5)+-0.4)*0.98)*1.11)*0.85)-6.5)+3.2)+-0.3)+0.3</f>
        <v>-38.563671883301396</v>
      </c>
      <c r="F3346" s="4">
        <f>((-1.3705046*(1.3/1.5))*0.6)-0.3</f>
        <v>-1.012662392</v>
      </c>
    </row>
    <row r="3347" spans="1:6" x14ac:dyDescent="0.4">
      <c r="A3347" s="4">
        <v>2926.924125</v>
      </c>
      <c r="B3347" s="4">
        <v>1.4048176000000001</v>
      </c>
      <c r="C3347" s="4">
        <v>1.431986</v>
      </c>
      <c r="D3347" s="4">
        <v>-30.848303999999999</v>
      </c>
      <c r="E3347" s="4">
        <f>(((((((((-30.2925168/(10/9))+-10.5)+-0.4)*0.98)*1.11)*0.85)-6.5)+3.2)+-0.3)+0.3</f>
        <v>-38.586899827905597</v>
      </c>
      <c r="F3347" s="4">
        <f>((-1.3699324*(1.3/1.5))*0.6)-0.3</f>
        <v>-1.012364848</v>
      </c>
    </row>
    <row r="3348" spans="1:6" x14ac:dyDescent="0.4">
      <c r="A3348" s="4">
        <v>2927.7990499999996</v>
      </c>
      <c r="B3348" s="4">
        <v>1.4048769000000001</v>
      </c>
      <c r="C3348" s="4">
        <v>1.4323478000000001</v>
      </c>
      <c r="D3348" s="4">
        <v>-30.846387</v>
      </c>
      <c r="E3348" s="4">
        <f>(((((((((-30.292407/(10/9))+-10.5)+-0.4)*0.98)*1.11)*0.85)-6.5)+3.2)+-0.3)+0.3</f>
        <v>-38.586808455968992</v>
      </c>
      <c r="F3348" s="4">
        <f>((-1.3691524*(1.3/1.5))*0.6)-0.3</f>
        <v>-1.0119592479999999</v>
      </c>
    </row>
    <row r="3349" spans="1:6" x14ac:dyDescent="0.4">
      <c r="A3349" s="4">
        <v>2928.6739750000002</v>
      </c>
      <c r="B3349" s="4">
        <v>1.4051273</v>
      </c>
      <c r="C3349" s="4">
        <v>1.4324110000000001</v>
      </c>
      <c r="D3349" s="4">
        <v>-30.844708999999998</v>
      </c>
      <c r="E3349" s="4">
        <f>(((((((((-30.2963211/(10/9))+-10.5)+-0.4)*0.98)*1.11)*0.85)-6.5)+3.2)+-0.3)+0.3</f>
        <v>-38.590065640823703</v>
      </c>
      <c r="F3349" s="4">
        <f>((-1.3683964*(1.3/1.5))*0.6)-0.3</f>
        <v>-1.0115661279999999</v>
      </c>
    </row>
    <row r="3350" spans="1:6" x14ac:dyDescent="0.4">
      <c r="A3350" s="4">
        <v>2929.5488999999998</v>
      </c>
      <c r="B3350" s="4">
        <v>1.4051502</v>
      </c>
      <c r="C3350" s="4">
        <v>1.4322273000000001</v>
      </c>
      <c r="D3350" s="4">
        <v>-30.843163999999998</v>
      </c>
      <c r="E3350" s="4">
        <f>(((((((((-30.3260526/(10/9))+-10.5)+-0.4)*0.98)*1.11)*0.85)-6.5)+3.2)+-0.3)+0.3</f>
        <v>-38.6148072139842</v>
      </c>
      <c r="F3350" s="4">
        <f>((-1.3675743*(1.3/1.5))*0.6)-0.3</f>
        <v>-1.0111386359999999</v>
      </c>
    </row>
    <row r="3351" spans="1:6" x14ac:dyDescent="0.4">
      <c r="A3351" s="4">
        <v>2930.4238250000003</v>
      </c>
      <c r="B3351" s="4">
        <v>1.4049252000000001</v>
      </c>
      <c r="C3351" s="4">
        <v>1.4323189000000001</v>
      </c>
      <c r="D3351" s="4">
        <v>-30.841760000000001</v>
      </c>
      <c r="E3351" s="4">
        <f>(((((((((-30.2794569/(10/9))+-10.5)+-0.4)*0.98)*1.11)*0.85)-6.5)+3.2)+-0.3)+0.3</f>
        <v>-38.576031810102293</v>
      </c>
      <c r="F3351" s="4">
        <f>((-1.3667352*(1.3/1.5))*0.6)-0.3</f>
        <v>-1.0107023040000001</v>
      </c>
    </row>
    <row r="3352" spans="1:6" x14ac:dyDescent="0.4">
      <c r="A3352" s="4">
        <v>2931.2987499999999</v>
      </c>
      <c r="B3352" s="4">
        <v>1.4050138000000001</v>
      </c>
      <c r="C3352" s="4">
        <v>1.4318576000000001</v>
      </c>
      <c r="D3352" s="4">
        <v>-30.840294999999998</v>
      </c>
      <c r="E3352" s="4">
        <f>(((((((((-30.2706432/(10/9))+-10.5)+-0.4)*0.98)*1.11)*0.85)-6.5)+3.2)+-0.3)+0.3</f>
        <v>-38.568697339814392</v>
      </c>
      <c r="F3352" s="4">
        <f>((-1.3657291*(1.3/1.5))*0.6)-0.3</f>
        <v>-1.010179132</v>
      </c>
    </row>
    <row r="3353" spans="1:6" x14ac:dyDescent="0.4">
      <c r="A3353" s="4">
        <v>2932.173675</v>
      </c>
      <c r="B3353" s="4">
        <v>1.4051323</v>
      </c>
      <c r="C3353" s="4">
        <v>1.4323220999999999</v>
      </c>
      <c r="D3353" s="4">
        <v>-30.839769</v>
      </c>
      <c r="E3353" s="4">
        <f>(((((((((-30.3227739/(10/9))+-10.5)+-0.4)*0.98)*1.11)*0.85)-6.5)+3.2)+-0.3)+0.3</f>
        <v>-38.612078788041295</v>
      </c>
      <c r="F3353" s="4">
        <f>((-1.3646889*(1.3/1.5))*0.6)-0.3</f>
        <v>-1.009638228</v>
      </c>
    </row>
    <row r="3354" spans="1:6" x14ac:dyDescent="0.4">
      <c r="A3354" s="4">
        <v>2933.0486000000001</v>
      </c>
      <c r="B3354" s="4">
        <v>1.4052617999999999</v>
      </c>
      <c r="C3354" s="4">
        <v>1.4322680000000001</v>
      </c>
      <c r="D3354" s="4">
        <v>-30.839155999999999</v>
      </c>
      <c r="E3354" s="4">
        <f>(((((((((-30.2696613/(10/9))+-10.5)+-0.4)*0.98)*1.11)*0.85)-6.5)+3.2)+-0.3)+0.3</f>
        <v>-38.567880235037094</v>
      </c>
      <c r="F3354" s="4">
        <f>((-1.3636014*(1.3/1.5))*0.6)-0.3</f>
        <v>-1.009072728</v>
      </c>
    </row>
    <row r="3355" spans="1:6" x14ac:dyDescent="0.4">
      <c r="A3355" s="4">
        <v>2933.9235249999997</v>
      </c>
      <c r="B3355" s="4">
        <v>1.4055198</v>
      </c>
      <c r="C3355" s="4">
        <v>1.4325435</v>
      </c>
      <c r="D3355" s="4">
        <v>-30.838751999999999</v>
      </c>
      <c r="E3355" s="4">
        <f>(((((((((-30.2553315/(10/9))+-10.5)+-0.4)*0.98)*1.11)*0.85)-6.5)+3.2)+-0.3)+0.3</f>
        <v>-38.555955448360493</v>
      </c>
      <c r="F3355" s="4">
        <f>((-1.3624787*(1.3/1.5))*0.6)-0.3</f>
        <v>-1.0084889240000001</v>
      </c>
    </row>
    <row r="3356" spans="1:6" x14ac:dyDescent="0.4">
      <c r="A3356" s="4">
        <v>2934.7984500000002</v>
      </c>
      <c r="B3356" s="4">
        <v>1.4057587</v>
      </c>
      <c r="C3356" s="4">
        <v>1.4329585</v>
      </c>
      <c r="D3356" s="4">
        <v>-30.838854999999999</v>
      </c>
      <c r="E3356" s="4">
        <f>(((((((((-30.2670558/(10/9))+-10.5)+-0.4)*0.98)*1.11)*0.85)-6.5)+3.2)+-0.3)+0.3</f>
        <v>-38.565712023918593</v>
      </c>
      <c r="F3356" s="4">
        <f>((-1.3613518*(1.3/1.5))*0.6)-0.3</f>
        <v>-1.007902936</v>
      </c>
    </row>
    <row r="3357" spans="1:6" x14ac:dyDescent="0.4">
      <c r="A3357" s="4">
        <v>2935.6733749999999</v>
      </c>
      <c r="B3357" s="4">
        <v>1.4059199</v>
      </c>
      <c r="C3357" s="4">
        <v>1.4326766</v>
      </c>
      <c r="D3357" s="4">
        <v>-30.838812999999998</v>
      </c>
      <c r="E3357" s="4">
        <f>(((((((((-30.2690538/(10/9))+-10.5)+-0.4)*0.98)*1.11)*0.85)-6.5)+3.2)+-0.3)+0.3</f>
        <v>-38.56737469358459</v>
      </c>
      <c r="F3357" s="4">
        <f>((-1.3601738*(1.3/1.5))*0.6)-0.3</f>
        <v>-1.007290376</v>
      </c>
    </row>
    <row r="3358" spans="1:6" x14ac:dyDescent="0.4">
      <c r="A3358" s="4">
        <v>2936.5482999999999</v>
      </c>
      <c r="B3358" s="4">
        <v>1.4056090000000001</v>
      </c>
      <c r="C3358" s="4">
        <v>1.4324821000000001</v>
      </c>
      <c r="D3358" s="4">
        <v>-30.838934999999999</v>
      </c>
      <c r="E3358" s="4">
        <f>(((((((((-30.2721165/(10/9))+-10.5)+-0.4)*0.98)*1.11)*0.85)-6.5)+3.2)+-0.3)+0.3</f>
        <v>-38.569923371455502</v>
      </c>
      <c r="F3358" s="4">
        <f>((-1.358964*(1.3/1.5))*0.6)-0.3</f>
        <v>-1.0066612800000001</v>
      </c>
    </row>
    <row r="3359" spans="1:6" x14ac:dyDescent="0.4">
      <c r="A3359" s="4">
        <v>2937.423225</v>
      </c>
      <c r="B3359" s="4">
        <v>1.4055321000000001</v>
      </c>
      <c r="C3359" s="4">
        <v>1.4323417000000001</v>
      </c>
      <c r="D3359" s="4">
        <v>-30.839265000000001</v>
      </c>
      <c r="E3359" s="4">
        <f>(((((((((-30.2758551/(10/9))+-10.5)+-0.4)*0.98)*1.11)*0.85)-6.5)+3.2)+-0.3)+0.3</f>
        <v>-38.573034511001694</v>
      </c>
      <c r="F3359" s="4">
        <f>((-1.3576909*(1.3/1.5))*0.6)-0.3</f>
        <v>-1.0059992679999998</v>
      </c>
    </row>
    <row r="3360" spans="1:6" x14ac:dyDescent="0.4">
      <c r="A3360" s="4">
        <v>2938.2981500000001</v>
      </c>
      <c r="B3360" s="4">
        <v>1.4057413000000001</v>
      </c>
      <c r="C3360" s="4">
        <v>1.4325129000000001</v>
      </c>
      <c r="D3360" s="4">
        <v>-30.839869999999998</v>
      </c>
      <c r="E3360" s="4">
        <f>(((((((((-30.2750145/(10/9))+-10.5)+-0.4)*0.98)*1.11)*0.85)-6.5)+3.2)+-0.3)+0.3</f>
        <v>-38.572334991421492</v>
      </c>
      <c r="F3360" s="4">
        <f>((-1.3563523*(1.3/1.5))*0.6)-0.3</f>
        <v>-1.0053031959999998</v>
      </c>
    </row>
    <row r="3361" spans="1:6" x14ac:dyDescent="0.4">
      <c r="A3361" s="4">
        <v>2939.1730750000002</v>
      </c>
      <c r="B3361" s="4">
        <v>1.4055333000000001</v>
      </c>
      <c r="C3361" s="4">
        <v>1.432426</v>
      </c>
      <c r="D3361" s="4">
        <v>-30.840744999999998</v>
      </c>
      <c r="E3361" s="4">
        <f>(((((((((-30.290742/(10/9))+-10.5)+-0.4)*0.98)*1.11)*0.85)-6.5)+3.2)+-0.3)+0.3</f>
        <v>-38.585422897914</v>
      </c>
      <c r="F3361" s="4">
        <f>((-1.3550378*(1.3/1.5))*0.6)-0.3</f>
        <v>-1.004619656</v>
      </c>
    </row>
    <row r="3362" spans="1:6" x14ac:dyDescent="0.4">
      <c r="A3362" s="4">
        <v>2940.0479999999998</v>
      </c>
      <c r="B3362" s="4">
        <v>1.4055299999999999</v>
      </c>
      <c r="C3362" s="4">
        <v>1.4322292000000001</v>
      </c>
      <c r="D3362" s="4">
        <v>-30.841787999999998</v>
      </c>
      <c r="E3362" s="4">
        <f>(((((((((-30.2685255/(10/9))+-10.5)+-0.4)*0.98)*1.11)*0.85)-6.5)+3.2)+-0.3)+0.3</f>
        <v>-38.566935059758492</v>
      </c>
      <c r="F3362" s="4">
        <f>((-1.3537601*(1.3/1.5))*0.6)-0.3</f>
        <v>-1.0039552519999999</v>
      </c>
    </row>
    <row r="3363" spans="1:6" x14ac:dyDescent="0.4">
      <c r="A3363" s="4">
        <v>2940.9229249999999</v>
      </c>
      <c r="B3363" s="4">
        <v>1.4058297</v>
      </c>
      <c r="C3363" s="4">
        <v>1.4325323000000001</v>
      </c>
      <c r="D3363" s="4">
        <v>-30.843076</v>
      </c>
      <c r="E3363" s="4">
        <f>(((((((((-30.2459895/(10/9))+-10.5)+-0.4)*0.98)*1.11)*0.85)-6.5)+3.2)+-0.3)+0.3</f>
        <v>-38.548181344246487</v>
      </c>
      <c r="F3363" s="4">
        <f>((-1.352527*(1.3/1.5))*0.6)-0.3</f>
        <v>-1.00331404</v>
      </c>
    </row>
    <row r="3364" spans="1:6" x14ac:dyDescent="0.4">
      <c r="A3364" s="4">
        <v>2941.7978499999999</v>
      </c>
      <c r="B3364" s="4">
        <v>1.4057322000000001</v>
      </c>
      <c r="C3364" s="4">
        <v>1.4326122999999999</v>
      </c>
      <c r="D3364" s="4">
        <v>-30.84459</v>
      </c>
      <c r="E3364" s="4">
        <f>(((((((((-30.2778225/(10/9))+-10.5)+-0.4)*0.98)*1.11)*0.85)-6.5)+3.2)+-0.3)+0.3</f>
        <v>-38.5746717163575</v>
      </c>
      <c r="F3364" s="4">
        <f>((-1.3512522*(1.3/1.5))*0.6)-0.3</f>
        <v>-1.0026511439999999</v>
      </c>
    </row>
    <row r="3365" spans="1:6" x14ac:dyDescent="0.4">
      <c r="A3365" s="4">
        <v>2942.672775</v>
      </c>
      <c r="B3365" s="4">
        <v>1.4058014999999999</v>
      </c>
      <c r="C3365" s="4">
        <v>1.4327611</v>
      </c>
      <c r="D3365" s="4">
        <v>-30.846298999999998</v>
      </c>
      <c r="E3365" s="4">
        <f>(((((((((-30.2557158/(10/9))+-10.5)+-0.4)*0.98)*1.11)*0.85)-6.5)+3.2)+-0.3)+0.3</f>
        <v>-38.556275250138597</v>
      </c>
      <c r="F3365" s="4">
        <f>((-1.350059*(1.3/1.5))*0.6)-0.3</f>
        <v>-1.0020306799999998</v>
      </c>
    </row>
    <row r="3366" spans="1:6" x14ac:dyDescent="0.4">
      <c r="A3366" s="4">
        <v>2943.5477000000001</v>
      </c>
      <c r="B3366" s="4">
        <v>1.4061893000000001</v>
      </c>
      <c r="C3366" s="4">
        <v>1.4332674999999999</v>
      </c>
      <c r="D3366" s="4">
        <v>-30.847942</v>
      </c>
      <c r="E3366" s="4">
        <f>(((((((((-30.2361876/(10/9))+-10.5)+-0.4)*0.98)*1.11)*0.85)-6.5)+3.2)+-0.3)+0.3</f>
        <v>-38.540024526529201</v>
      </c>
      <c r="F3366" s="4">
        <f>((-1.3489256*(1.3/1.5))*0.6)-0.3</f>
        <v>-1.0014413119999999</v>
      </c>
    </row>
    <row r="3367" spans="1:6" x14ac:dyDescent="0.4">
      <c r="A3367" s="4">
        <v>2944.4226250000002</v>
      </c>
      <c r="B3367" s="4">
        <v>1.4061779999999999</v>
      </c>
      <c r="C3367" s="4">
        <v>1.4323994</v>
      </c>
      <c r="D3367" s="4">
        <v>-30.849612</v>
      </c>
      <c r="E3367" s="4">
        <f>(((((((((-30.2438574/(10/9))+-10.5)+-0.4)*0.98)*1.11)*0.85)-6.5)+3.2)+-0.3)+0.3</f>
        <v>-38.546407080985794</v>
      </c>
      <c r="F3367" s="4">
        <f>((-1.3478264*(1.3/1.5))*0.6)-0.3</f>
        <v>-1.0008697280000001</v>
      </c>
    </row>
    <row r="3368" spans="1:6" x14ac:dyDescent="0.4">
      <c r="A3368" s="4">
        <v>2945.2975499999998</v>
      </c>
      <c r="B3368" s="4">
        <v>1.4059322999999999</v>
      </c>
      <c r="C3368" s="4">
        <v>1.4328026</v>
      </c>
      <c r="D3368" s="4">
        <v>-30.851274</v>
      </c>
      <c r="E3368" s="4">
        <f>(((((((((-30.2100984/(10/9))+-10.5)+-0.4)*0.98)*1.11)*0.85)-6.5)+3.2)+-0.3)+0.3</f>
        <v>-38.518313955232799</v>
      </c>
      <c r="F3368" s="4">
        <f>((-1.3467675*(1.3/1.5))*0.6)-0.3</f>
        <v>-1.0003191</v>
      </c>
    </row>
    <row r="3369" spans="1:6" x14ac:dyDescent="0.4">
      <c r="A3369" s="4">
        <v>2946.1724750000003</v>
      </c>
      <c r="B3369" s="4">
        <v>1.4058956</v>
      </c>
      <c r="C3369" s="4">
        <v>1.4330391</v>
      </c>
      <c r="D3369" s="4">
        <v>-30.853148999999998</v>
      </c>
      <c r="E3369" s="4">
        <f>(((((((((-30.2413752/(10/9))+-10.5)+-0.4)*0.98)*1.11)*0.85)-6.5)+3.2)+-0.3)+0.3</f>
        <v>-38.544341476058392</v>
      </c>
      <c r="F3369" s="4">
        <f>((-1.3456924*(1.3/1.5))*0.6)-0.3</f>
        <v>-0.99976004799999996</v>
      </c>
    </row>
    <row r="3370" spans="1:6" x14ac:dyDescent="0.4">
      <c r="A3370" s="4">
        <v>2947.0473999999999</v>
      </c>
      <c r="B3370" s="4">
        <v>1.4062036</v>
      </c>
      <c r="C3370" s="4">
        <v>1.4329542</v>
      </c>
      <c r="D3370" s="4">
        <v>-30.855070999999999</v>
      </c>
      <c r="E3370" s="4">
        <f>(((((((((-30.2213772/(10/9))+-10.5)+-0.4)*0.98)*1.11)*0.85)-6.5)+3.2)+-0.3)+0.3</f>
        <v>-38.527699800392398</v>
      </c>
      <c r="F3370" s="4">
        <f>((-1.344726*(1.3/1.5))*0.6)-0.3</f>
        <v>-0.99925752000000001</v>
      </c>
    </row>
    <row r="3371" spans="1:6" x14ac:dyDescent="0.4">
      <c r="A3371" s="4">
        <v>2947.922325</v>
      </c>
      <c r="B3371" s="4">
        <v>1.4062682</v>
      </c>
      <c r="C3371" s="4">
        <v>1.4332155</v>
      </c>
      <c r="D3371" s="4">
        <v>-30.857011</v>
      </c>
      <c r="E3371" s="4">
        <f>(((((((((-30.2080284/(10/9))+-10.5)+-0.4)*0.98)*1.11)*0.85)-6.5)+3.2)+-0.3)+0.3</f>
        <v>-38.516591369542802</v>
      </c>
      <c r="F3371" s="4">
        <f>((-1.3438901*(1.3/1.5))*0.6)-0.3</f>
        <v>-0.99882285199999998</v>
      </c>
    </row>
    <row r="3372" spans="1:6" x14ac:dyDescent="0.4">
      <c r="A3372" s="4">
        <v>2948.7972500000001</v>
      </c>
      <c r="B3372" s="4">
        <v>1.4063585999999999</v>
      </c>
      <c r="C3372" s="4">
        <v>1.4330461999999999</v>
      </c>
      <c r="D3372" s="4">
        <v>-30.859309</v>
      </c>
      <c r="E3372" s="4">
        <f>(((((((((-30.2130171/(10/9))+-10.5)+-0.4)*0.98)*1.11)*0.85)-6.5)+3.2)+-0.3)+0.3</f>
        <v>-38.520742801055697</v>
      </c>
      <c r="F3372" s="4">
        <f>((-1.3432122*(1.3/1.5))*0.6)-0.3</f>
        <v>-0.99847034400000001</v>
      </c>
    </row>
    <row r="3373" spans="1:6" x14ac:dyDescent="0.4">
      <c r="A3373" s="4">
        <v>2949.6721749999997</v>
      </c>
      <c r="B3373" s="4">
        <v>1.4062332</v>
      </c>
      <c r="C3373" s="4">
        <v>1.4331645</v>
      </c>
      <c r="D3373" s="4">
        <v>-30.861522000000001</v>
      </c>
      <c r="E3373" s="4">
        <f>(((((((((-30.2100921/(10/9))+-10.5)+-0.4)*0.98)*1.11)*0.85)-6.5)+3.2)+-0.3)+0.3</f>
        <v>-38.518308712580691</v>
      </c>
      <c r="F3373" s="4">
        <f>((-1.3426036*(1.3/1.5))*0.6)-0.3</f>
        <v>-0.99815387200000005</v>
      </c>
    </row>
    <row r="3374" spans="1:6" x14ac:dyDescent="0.4">
      <c r="A3374" s="4">
        <v>2950.5471000000002</v>
      </c>
      <c r="B3374" s="4">
        <v>1.4063778</v>
      </c>
      <c r="C3374" s="4">
        <v>1.4333743000000001</v>
      </c>
      <c r="D3374" s="4">
        <v>-30.863827999999998</v>
      </c>
      <c r="E3374" s="4">
        <f>(((((((((-30.2231205/(10/9))+-10.5)+-0.4)*0.98)*1.11)*0.85)-6.5)+3.2)+-0.3)+0.3</f>
        <v>-38.529150517123497</v>
      </c>
      <c r="F3374" s="4">
        <f>((-1.3420061*(1.3/1.5))*0.6)-0.3</f>
        <v>-0.99784317200000006</v>
      </c>
    </row>
    <row r="3375" spans="1:6" x14ac:dyDescent="0.4">
      <c r="A3375" s="4">
        <v>2951.4220249999998</v>
      </c>
      <c r="B3375" s="4">
        <v>1.4065460000000001</v>
      </c>
      <c r="C3375" s="4">
        <v>1.4331049</v>
      </c>
      <c r="D3375" s="4">
        <v>-30.866337999999999</v>
      </c>
      <c r="E3375" s="4">
        <f>(((((((((-30.1999257/(10/9))+-10.5)+-0.4)*0.98)*1.11)*0.85)-6.5)+3.2)+-0.3)+0.3</f>
        <v>-38.509848569991888</v>
      </c>
      <c r="F3375" s="4">
        <f>((-1.3415337*(1.3/1.5))*0.6)-0.3</f>
        <v>-0.99759752400000012</v>
      </c>
    </row>
    <row r="3376" spans="1:6" x14ac:dyDescent="0.4">
      <c r="A3376" s="4">
        <v>2952.2969500000004</v>
      </c>
      <c r="B3376" s="4">
        <v>1.4063734000000001</v>
      </c>
      <c r="C3376" s="4">
        <v>1.4333731000000001</v>
      </c>
      <c r="D3376" s="4">
        <v>-30.868385</v>
      </c>
      <c r="E3376" s="4">
        <f>(((((((((-30.2297508/(10/9))+-10.5)+-0.4)*0.98)*1.11)*0.85)-6.5)+3.2)+-0.3)+0.3</f>
        <v>-38.534668033983593</v>
      </c>
      <c r="F3376" s="4">
        <f>((-1.3411627*(1.3/1.5))*0.6)-0.3</f>
        <v>-0.99740460399999997</v>
      </c>
    </row>
    <row r="3377" spans="1:6" x14ac:dyDescent="0.4">
      <c r="A3377" s="4">
        <v>2953.171875</v>
      </c>
      <c r="B3377" s="4">
        <v>1.4065155</v>
      </c>
      <c r="C3377" s="4">
        <v>1.4335424999999999</v>
      </c>
      <c r="D3377" s="4">
        <v>-30.870424</v>
      </c>
      <c r="E3377" s="4">
        <f>(((((((((-30.2072967/(10/9))+-10.5)+-0.4)*0.98)*1.11)*0.85)-6.5)+3.2)+-0.3)+0.3</f>
        <v>-38.515982472948892</v>
      </c>
      <c r="F3377" s="4">
        <f>((-1.3409086*(1.3/1.5))*0.6)-0.3</f>
        <v>-0.99727247199999991</v>
      </c>
    </row>
    <row r="3378" spans="1:6" x14ac:dyDescent="0.4">
      <c r="A3378" s="4">
        <v>2954.0467999999996</v>
      </c>
      <c r="B3378" s="4">
        <v>1.406401</v>
      </c>
      <c r="C3378" s="4">
        <v>1.4333708999999999</v>
      </c>
      <c r="D3378" s="4">
        <v>-30.872363</v>
      </c>
      <c r="E3378" s="4">
        <f>(((((((((-30.1739535/(10/9))+-10.5)+-0.4)*0.98)*1.11)*0.85)-6.5)+3.2)+-0.3)+0.3</f>
        <v>-38.488235362234491</v>
      </c>
      <c r="F3378" s="4">
        <f>((-1.3408171*(1.3/1.5))*0.6)-0.3</f>
        <v>-0.99722489199999997</v>
      </c>
    </row>
    <row r="3379" spans="1:6" x14ac:dyDescent="0.4">
      <c r="A3379" s="4">
        <v>2954.9217250000002</v>
      </c>
      <c r="B3379" s="4">
        <v>1.4066129000000001</v>
      </c>
      <c r="C3379" s="4">
        <v>1.4336808000000001</v>
      </c>
      <c r="D3379" s="4">
        <v>-30.873816999999999</v>
      </c>
      <c r="E3379" s="4">
        <f>(((((((((-30.1838859/(10/9))+-10.5)+-0.4)*0.98)*1.11)*0.85)-6.5)+3.2)+-0.3)+0.3</f>
        <v>-38.496500777745297</v>
      </c>
      <c r="F3379" s="4">
        <f>((-1.340871*(1.3/1.5))*0.6)-0.3</f>
        <v>-0.99725291999999999</v>
      </c>
    </row>
    <row r="3380" spans="1:6" x14ac:dyDescent="0.4">
      <c r="A3380" s="4">
        <v>2955.7966499999998</v>
      </c>
      <c r="B3380" s="4">
        <v>1.4069027000000001</v>
      </c>
      <c r="C3380" s="4">
        <v>1.4335978</v>
      </c>
      <c r="D3380" s="4">
        <v>-30.875803999999999</v>
      </c>
      <c r="E3380" s="4">
        <f>(((((((((-30.199428/(10/9))+-10.5)+-0.4)*0.98)*1.11)*0.85)-6.5)+3.2)+-0.3)+0.3</f>
        <v>-38.509434400476003</v>
      </c>
      <c r="F3380" s="4">
        <f>((-1.3409942*(1.3/1.5))*0.6)-0.3</f>
        <v>-0.9973169839999998</v>
      </c>
    </row>
    <row r="3381" spans="1:6" x14ac:dyDescent="0.4">
      <c r="A3381" s="4">
        <v>2956.6715750000003</v>
      </c>
      <c r="B3381" s="4">
        <v>1.4068244000000001</v>
      </c>
      <c r="C3381" s="4">
        <v>1.4340561999999999</v>
      </c>
      <c r="D3381" s="4">
        <v>-30.877340999999998</v>
      </c>
      <c r="E3381" s="4">
        <f>(((((((((-30.2007294/(10/9))+-10.5)+-0.4)*0.98)*1.11)*0.85)-6.5)+3.2)+-0.3)+0.3</f>
        <v>-38.510517382609791</v>
      </c>
      <c r="F3381" s="4">
        <f>((-1.3413006*(1.3/1.5))*0.6)-0.3</f>
        <v>-0.99747631199999987</v>
      </c>
    </row>
    <row r="3382" spans="1:6" x14ac:dyDescent="0.4">
      <c r="A3382" s="4">
        <v>2957.5464999999999</v>
      </c>
      <c r="B3382" s="4">
        <v>1.4070164999999999</v>
      </c>
      <c r="C3382" s="4">
        <v>1.4339584000000001</v>
      </c>
      <c r="D3382" s="4">
        <v>-30.879451</v>
      </c>
      <c r="E3382" s="4">
        <f>(((((((((-30.1575735/(10/9))+-10.5)+-0.4)*0.98)*1.11)*0.85)-6.5)+3.2)+-0.3)+0.3</f>
        <v>-38.474604466774494</v>
      </c>
      <c r="F3382" s="4">
        <f>((-1.3416831*(1.3/1.5))*0.6)-0.3</f>
        <v>-0.99767521200000009</v>
      </c>
    </row>
    <row r="3383" spans="1:6" x14ac:dyDescent="0.4">
      <c r="A3383" s="4">
        <v>2958.421425</v>
      </c>
      <c r="B3383" s="4">
        <v>1.4067445000000001</v>
      </c>
      <c r="C3383" s="4">
        <v>1.433989</v>
      </c>
      <c r="D3383" s="4">
        <v>-30.881153999999999</v>
      </c>
      <c r="E3383" s="4">
        <f>(((((((((-30.1788666/(10/9))+-10.5)+-0.4)*0.98)*1.11)*0.85)-6.5)+3.2)+-0.3)+0.3</f>
        <v>-38.492323881922189</v>
      </c>
      <c r="F3383" s="4">
        <f>((-1.3421545*(1.3/1.5))*0.6)-0.3</f>
        <v>-0.99792034000000007</v>
      </c>
    </row>
    <row r="3384" spans="1:6" x14ac:dyDescent="0.4">
      <c r="A3384" s="4">
        <v>2959.2963500000001</v>
      </c>
      <c r="B3384" s="4">
        <v>1.4069114</v>
      </c>
      <c r="C3384" s="4">
        <v>1.4340976000000001</v>
      </c>
      <c r="D3384" s="4">
        <v>-30.882601999999999</v>
      </c>
      <c r="E3384" s="4">
        <f>(((((((((-30.1614048/(10/9))+-10.5)+-0.4)*0.98)*1.11)*0.85)-6.5)+3.2)+-0.3)+0.3</f>
        <v>-38.477792748201594</v>
      </c>
      <c r="F3384" s="4">
        <f>((-1.3427068*(1.3/1.5))*0.6)-0.3</f>
        <v>-0.99820753600000001</v>
      </c>
    </row>
    <row r="3385" spans="1:6" x14ac:dyDescent="0.4">
      <c r="A3385" s="4">
        <v>2960.1712749999997</v>
      </c>
      <c r="B3385" s="4">
        <v>1.4072343</v>
      </c>
      <c r="C3385" s="4">
        <v>1.4343511</v>
      </c>
      <c r="D3385" s="4">
        <v>-30.883762000000001</v>
      </c>
      <c r="E3385" s="4">
        <f>(((((((((-30.1648176/(10/9))+-10.5)+-0.4)*0.98)*1.11)*0.85)-6.5)+3.2)+-0.3)+0.3</f>
        <v>-38.480632767739202</v>
      </c>
      <c r="F3385" s="4">
        <f>((-1.3434455*(1.3/1.5))*0.6)-0.3</f>
        <v>-0.99859165999999999</v>
      </c>
    </row>
    <row r="3386" spans="1:6" x14ac:dyDescent="0.4">
      <c r="A3386" s="4">
        <v>2961.0462000000002</v>
      </c>
      <c r="B3386" s="4">
        <v>1.4071255</v>
      </c>
      <c r="C3386" s="4">
        <v>1.4342841</v>
      </c>
      <c r="D3386" s="4">
        <v>-30.884857999999998</v>
      </c>
      <c r="E3386" s="4">
        <f>(((((((((-30.1725423/(10/9))+-10.5)+-0.4)*0.98)*1.11)*0.85)-6.5)+3.2)+-0.3)+0.3</f>
        <v>-38.48706100816409</v>
      </c>
      <c r="F3386" s="4">
        <f>((-1.3443549*(1.3/1.5))*0.6)-0.3</f>
        <v>-0.999064548</v>
      </c>
    </row>
    <row r="3387" spans="1:6" x14ac:dyDescent="0.4">
      <c r="A3387" s="4">
        <v>2961.9211249999998</v>
      </c>
      <c r="B3387" s="4">
        <v>1.4070282000000001</v>
      </c>
      <c r="C3387" s="4">
        <v>1.4341273000000001</v>
      </c>
      <c r="D3387" s="4">
        <v>-30.885435999999999</v>
      </c>
      <c r="E3387" s="4">
        <f>(((((((((-30.1735692/(10/9))+-10.5)+-0.4)*0.98)*1.11)*0.85)-6.5)+3.2)+-0.3)+0.3</f>
        <v>-38.487915560456393</v>
      </c>
      <c r="F3387" s="4">
        <f>((-1.3454117*(1.3/1.5))*0.6)-0.3</f>
        <v>-0.99961408400000007</v>
      </c>
    </row>
    <row r="3388" spans="1:6" x14ac:dyDescent="0.4">
      <c r="A3388" s="4">
        <v>2962.7960499999999</v>
      </c>
      <c r="B3388" s="4">
        <v>1.4070923</v>
      </c>
      <c r="C3388" s="4">
        <v>1.4342383999999999</v>
      </c>
      <c r="D3388" s="4">
        <v>-30.886168999999999</v>
      </c>
      <c r="E3388" s="4">
        <f>(((((((((-30.1577904/(10/9))+-10.5)+-0.4)*0.98)*1.11)*0.85)-6.5)+3.2)+-0.3)+0.3</f>
        <v>-38.4747849637968</v>
      </c>
      <c r="F3388" s="4">
        <f>((-1.3466537*(1.3/1.5))*0.6)-0.3</f>
        <v>-1.0002599240000001</v>
      </c>
    </row>
    <row r="3389" spans="1:6" x14ac:dyDescent="0.4">
      <c r="A3389" s="4">
        <v>2963.670975</v>
      </c>
      <c r="B3389" s="4">
        <v>1.4070473999999999</v>
      </c>
      <c r="C3389" s="4">
        <v>1.4341980999999999</v>
      </c>
      <c r="D3389" s="4">
        <v>-30.886707999999999</v>
      </c>
      <c r="E3389" s="4">
        <f>(((((((((-30.1709736/(10/9))+-10.5)+-0.4)*0.98)*1.11)*0.85)-6.5)+3.2)+-0.3)+0.3</f>
        <v>-38.485755587791196</v>
      </c>
      <c r="F3389" s="4">
        <f>((-1.3479415*(1.3/1.5))*0.6)-0.3</f>
        <v>-1.00092958</v>
      </c>
    </row>
    <row r="3390" spans="1:6" x14ac:dyDescent="0.4">
      <c r="A3390" s="4">
        <v>2964.5459000000001</v>
      </c>
      <c r="B3390" s="4">
        <v>1.4071484000000001</v>
      </c>
      <c r="C3390" s="4">
        <v>1.4342798999999999</v>
      </c>
      <c r="D3390" s="4">
        <v>-30.88672</v>
      </c>
      <c r="E3390" s="4">
        <f>(((((((((-30.147741/(10/9))+-10.5)+-0.4)*0.98)*1.11)*0.85)-6.5)+3.2)+-0.3)+0.3</f>
        <v>-38.466422184746996</v>
      </c>
      <c r="F3390" s="4">
        <f>((-1.349332*(1.3/1.5))*0.6)-0.3</f>
        <v>-1.0016526399999999</v>
      </c>
    </row>
    <row r="3391" spans="1:6" x14ac:dyDescent="0.4">
      <c r="A3391" s="4">
        <v>2965.4208250000001</v>
      </c>
      <c r="B3391" s="4">
        <v>1.4072876000000001</v>
      </c>
      <c r="C3391" s="4">
        <v>1.4346794</v>
      </c>
      <c r="D3391" s="4">
        <v>-30.886953999999999</v>
      </c>
      <c r="E3391" s="4">
        <f>(((((((((-30.1580856/(10/9))+-10.5)+-0.4)*0.98)*1.11)*0.85)-6.5)+3.2)+-0.3)+0.3</f>
        <v>-38.475030619495193</v>
      </c>
      <c r="F3391" s="4">
        <f>((-1.3508735*(1.3/1.5))*0.6)-0.3</f>
        <v>-1.00245422</v>
      </c>
    </row>
    <row r="3392" spans="1:6" x14ac:dyDescent="0.4">
      <c r="A3392" s="4">
        <v>2966.2957500000002</v>
      </c>
      <c r="B3392" s="4">
        <v>1.4075381</v>
      </c>
      <c r="C3392" s="4">
        <v>1.4343798000000001</v>
      </c>
      <c r="D3392" s="4">
        <v>-30.887080000000001</v>
      </c>
      <c r="E3392" s="4">
        <f>(((((((((-30.1626513/(10/9))+-10.5)+-0.4)*0.98)*1.11)*0.85)-6.5)+3.2)+-0.3)+0.3</f>
        <v>-38.478830044367093</v>
      </c>
      <c r="F3392" s="4">
        <f>((-1.3524953*(1.3/1.5))*0.6)-0.3</f>
        <v>-1.0032975559999999</v>
      </c>
    </row>
    <row r="3393" spans="1:6" x14ac:dyDescent="0.4">
      <c r="A3393" s="4">
        <v>2967.1706749999998</v>
      </c>
      <c r="B3393" s="4">
        <v>1.4077822</v>
      </c>
      <c r="C3393" s="4">
        <v>1.4345576</v>
      </c>
      <c r="D3393" s="4">
        <v>-30.886492999999998</v>
      </c>
      <c r="E3393" s="4">
        <f>(((((((((-30.1746474/(10/9))+-10.5)+-0.4)*0.98)*1.11)*0.85)-6.5)+3.2)+-0.3)+0.3</f>
        <v>-38.488812802915803</v>
      </c>
      <c r="F3393" s="4">
        <f>((-1.3542573*(1.3/1.5))*0.6)-0.3</f>
        <v>-1.0042137959999999</v>
      </c>
    </row>
    <row r="3394" spans="1:6" x14ac:dyDescent="0.4">
      <c r="A3394" s="4">
        <v>2968.0455999999999</v>
      </c>
      <c r="B3394" s="4">
        <v>1.4078078999999999</v>
      </c>
      <c r="C3394" s="4">
        <v>1.4349083</v>
      </c>
      <c r="D3394" s="4">
        <v>-30.885936000000001</v>
      </c>
      <c r="E3394" s="4">
        <f>(((((((((-30.1654458/(10/9))+-10.5)+-0.4)*0.98)*1.11)*0.85)-6.5)+3.2)+-0.3)+0.3</f>
        <v>-38.481155535048593</v>
      </c>
      <c r="F3394" s="4">
        <f>((-1.3560683*(1.3/1.5))*0.6)-0.3</f>
        <v>-1.0051555160000001</v>
      </c>
    </row>
    <row r="3395" spans="1:6" x14ac:dyDescent="0.4">
      <c r="A3395" s="4">
        <v>2968.920525</v>
      </c>
      <c r="B3395" s="4">
        <v>1.4079385</v>
      </c>
      <c r="C3395" s="4">
        <v>1.4347418999999999</v>
      </c>
      <c r="D3395" s="4">
        <v>-30.884612000000001</v>
      </c>
      <c r="E3395" s="4">
        <f>(((((((((-30.1503537/(10/9))+-10.5)+-0.4)*0.98)*1.11)*0.85)-6.5)+3.2)+-0.3)+0.3</f>
        <v>-38.468596387467905</v>
      </c>
      <c r="F3395" s="4">
        <f>((-1.3580416*(1.3/1.5))*0.6)-0.3</f>
        <v>-1.0061816319999999</v>
      </c>
    </row>
    <row r="3396" spans="1:6" x14ac:dyDescent="0.4">
      <c r="A3396" s="4">
        <v>2969.7954500000001</v>
      </c>
      <c r="B3396" s="4">
        <v>1.4081653000000001</v>
      </c>
      <c r="C3396" s="4">
        <v>1.4349970999999999</v>
      </c>
      <c r="D3396" s="4">
        <v>-30.883244999999999</v>
      </c>
      <c r="E3396" s="4">
        <f>(((((((((-30.1537629/(10/9))+-10.5)+-0.4)*0.98)*1.11)*0.85)-6.5)+3.2)+-0.3)+0.3</f>
        <v>-38.471433411204295</v>
      </c>
      <c r="F3396" s="4">
        <f>((-1.360085*(1.3/1.5))*0.6)-0.3</f>
        <v>-1.0072441999999999</v>
      </c>
    </row>
    <row r="3397" spans="1:6" x14ac:dyDescent="0.4">
      <c r="A3397" s="4">
        <v>2970.6703750000001</v>
      </c>
      <c r="B3397" s="4">
        <v>1.4082228000000001</v>
      </c>
      <c r="C3397" s="4">
        <v>1.4355192000000001</v>
      </c>
      <c r="D3397" s="4">
        <v>-30.881800999999999</v>
      </c>
      <c r="E3397" s="4">
        <f>(((((((((-30.1416984/(10/9))+-10.5)+-0.4)*0.98)*1.11)*0.85)-6.5)+3.2)+-0.3)+0.3</f>
        <v>-38.461393732432796</v>
      </c>
      <c r="F3397" s="4">
        <f>((-1.3622121*(1.3/1.5))*0.6)-0.3</f>
        <v>-1.008350292</v>
      </c>
    </row>
    <row r="3398" spans="1:6" x14ac:dyDescent="0.4">
      <c r="A3398" s="4">
        <v>2971.5452999999998</v>
      </c>
      <c r="B3398" s="4">
        <v>1.4083003999999999</v>
      </c>
      <c r="C3398" s="4">
        <v>1.4358145</v>
      </c>
      <c r="D3398" s="4">
        <v>-30.880261999999998</v>
      </c>
      <c r="E3398" s="4">
        <f>(((((((((-30.1672863/(10/9))+-10.5)+-0.4)*0.98)*1.11)*0.85)-6.5)+3.2)+-0.3)+0.3</f>
        <v>-38.482687138412096</v>
      </c>
      <c r="F3398" s="4">
        <f>((-1.364398*(1.3/1.5))*0.6)-0.3</f>
        <v>-1.00948696</v>
      </c>
    </row>
    <row r="3399" spans="1:6" x14ac:dyDescent="0.4">
      <c r="A3399" s="4">
        <v>2972.4202250000003</v>
      </c>
      <c r="B3399" s="4">
        <v>1.4079969000000001</v>
      </c>
      <c r="C3399" s="4">
        <v>1.435643</v>
      </c>
      <c r="D3399" s="4">
        <v>-30.878267999999998</v>
      </c>
      <c r="E3399" s="4">
        <f>(((((((((-30.15549/(10/9))+-10.5)+-0.4)*0.98)*1.11)*0.85)-6.5)+3.2)+-0.3)+0.3</f>
        <v>-38.472870646830003</v>
      </c>
      <c r="F3399" s="4">
        <f>((-1.3667322*(1.3/1.5))*0.6)-0.3</f>
        <v>-1.010700744</v>
      </c>
    </row>
    <row r="3400" spans="1:6" x14ac:dyDescent="0.4">
      <c r="A3400" s="4">
        <v>2973.2951499999999</v>
      </c>
      <c r="B3400" s="4">
        <v>1.4083934</v>
      </c>
      <c r="C3400" s="4">
        <v>1.4358008</v>
      </c>
      <c r="D3400" s="4">
        <v>-30.876103999999998</v>
      </c>
      <c r="E3400" s="4">
        <f>(((((((((-30.1718151/(10/9))+-10.5)+-0.4)*0.98)*1.11)*0.85)-6.5)+3.2)+-0.3)+0.3</f>
        <v>-38.486455856321705</v>
      </c>
      <c r="F3400" s="4">
        <f>((-1.3690809*(1.3/1.5))*0.6)-0.3</f>
        <v>-1.0119220679999998</v>
      </c>
    </row>
    <row r="3401" spans="1:6" x14ac:dyDescent="0.4">
      <c r="A3401" s="4">
        <v>2974.170075</v>
      </c>
      <c r="B3401" s="4">
        <v>1.4086109</v>
      </c>
      <c r="C3401" s="4">
        <v>1.4361162000000001</v>
      </c>
      <c r="D3401" s="4">
        <v>-30.873560999999999</v>
      </c>
      <c r="E3401" s="4">
        <f>(((((((((-30.1530177/(10/9))+-10.5)+-0.4)*0.98)*1.11)*0.85)-6.5)+3.2)+-0.3)+0.3</f>
        <v>-38.470813280355898</v>
      </c>
      <c r="F3401" s="4">
        <f>((-1.3715186*(1.3/1.5))*0.6)-0.3</f>
        <v>-1.013189672</v>
      </c>
    </row>
    <row r="3402" spans="1:6" x14ac:dyDescent="0.4">
      <c r="A3402" s="4">
        <v>2975.0450000000001</v>
      </c>
      <c r="B3402" s="4">
        <v>1.4088225000000001</v>
      </c>
      <c r="C3402" s="4">
        <v>1.4360934000000001</v>
      </c>
      <c r="D3402" s="4">
        <v>-30.870567999999999</v>
      </c>
      <c r="E3402" s="4">
        <f>(((((((((-30.1175289/(10/9))+-10.5)+-0.4)*0.98)*1.11)*0.85)-6.5)+3.2)+-0.3)+0.3</f>
        <v>-38.44128067212629</v>
      </c>
      <c r="F3402" s="4">
        <f>((-1.3740969*(1.3/1.5))*0.6)-0.3</f>
        <v>-1.0145303880000001</v>
      </c>
    </row>
    <row r="3403" spans="1:6" x14ac:dyDescent="0.4">
      <c r="A3403" s="4">
        <v>2975.9199249999997</v>
      </c>
      <c r="B3403" s="4">
        <v>1.4084508</v>
      </c>
      <c r="C3403" s="4">
        <v>1.4360305</v>
      </c>
      <c r="D3403" s="4">
        <v>-30.867252000000001</v>
      </c>
      <c r="E3403" s="4">
        <f>(((((((((-30.1328442/(10/9))+-10.5)+-0.4)*0.98)*1.11)*0.85)-6.5)+3.2)+-0.3)+0.3</f>
        <v>-38.4540255593814</v>
      </c>
      <c r="F3403" s="4">
        <f>((-1.3767222*(1.3/1.5))*0.6)-0.3</f>
        <v>-1.0158955439999999</v>
      </c>
    </row>
    <row r="3404" spans="1:6" x14ac:dyDescent="0.4">
      <c r="A3404" s="4">
        <v>2976.7948500000002</v>
      </c>
      <c r="B3404" s="4">
        <v>1.4088145000000001</v>
      </c>
      <c r="C3404" s="4">
        <v>1.4360379000000001</v>
      </c>
      <c r="D3404" s="4">
        <v>-30.863713000000001</v>
      </c>
      <c r="E3404" s="4">
        <f>(((((((((-30.1345263/(10/9))+-10.5)+-0.4)*0.98)*1.11)*0.85)-6.5)+3.2)+-0.3)+0.3</f>
        <v>-38.455425347492103</v>
      </c>
      <c r="F3404" s="4">
        <f>((-1.3793135*(1.3/1.5))*0.6)-0.3</f>
        <v>-1.01724302</v>
      </c>
    </row>
    <row r="3405" spans="1:6" x14ac:dyDescent="0.4">
      <c r="A3405" s="4">
        <v>2977.6697749999998</v>
      </c>
      <c r="B3405" s="4">
        <v>1.4087012000000001</v>
      </c>
      <c r="C3405" s="4">
        <v>1.4363096</v>
      </c>
      <c r="D3405" s="4">
        <v>-30.860219000000001</v>
      </c>
      <c r="E3405" s="4">
        <f>(((((((((-30.134187/(10/9))+-10.5)+-0.4)*0.98)*1.11)*0.85)-6.5)+3.2)+-0.3)+0.3</f>
        <v>-38.455142993228989</v>
      </c>
      <c r="F3405" s="4">
        <f>((-1.3819619*(1.3/1.5))*0.6)-0.3</f>
        <v>-1.0186201880000001</v>
      </c>
    </row>
    <row r="3406" spans="1:6" x14ac:dyDescent="0.4">
      <c r="A3406" s="4">
        <v>2978.5447000000004</v>
      </c>
      <c r="B3406" s="4">
        <v>1.4090412000000001</v>
      </c>
      <c r="C3406" s="4">
        <v>1.4362520999999999</v>
      </c>
      <c r="D3406" s="4">
        <v>-30.856338000000001</v>
      </c>
      <c r="E3406" s="4">
        <f>(((((((((-30.1687731/(10/9))+-10.5)+-0.4)*0.98)*1.11)*0.85)-6.5)+3.2)+-0.3)+0.3</f>
        <v>-38.483924404307693</v>
      </c>
      <c r="F3406" s="4">
        <f>((-1.3846159*(1.3/1.5))*0.6)-0.3</f>
        <v>-1.020000268</v>
      </c>
    </row>
    <row r="3407" spans="1:6" x14ac:dyDescent="0.4">
      <c r="A3407" s="4">
        <v>2979.419625</v>
      </c>
      <c r="B3407" s="4">
        <v>1.4092081999999999</v>
      </c>
      <c r="C3407" s="4">
        <v>1.4364786</v>
      </c>
      <c r="D3407" s="4">
        <v>-30.85284</v>
      </c>
      <c r="E3407" s="4">
        <f>(((((((((-30.1445442/(10/9))+-10.5)+-0.4)*0.98)*1.11)*0.85)-6.5)+3.2)+-0.3)+0.3</f>
        <v>-38.463761913281395</v>
      </c>
      <c r="F3407" s="4">
        <f>((-1.3872962*(1.3/1.5))*0.6)-0.3</f>
        <v>-1.0213940239999999</v>
      </c>
    </row>
    <row r="3408" spans="1:6" x14ac:dyDescent="0.4">
      <c r="A3408" s="4">
        <v>2980.2945499999996</v>
      </c>
      <c r="B3408" s="4">
        <v>1.4093111</v>
      </c>
      <c r="C3408" s="4">
        <v>1.4365398</v>
      </c>
      <c r="D3408" s="4">
        <v>-30.849108999999999</v>
      </c>
      <c r="E3408" s="4">
        <f>(((((((((-30.1396698/(10/9))+-10.5)+-0.4)*0.98)*1.11)*0.85)-6.5)+3.2)+-0.3)+0.3</f>
        <v>-38.459705598456601</v>
      </c>
      <c r="F3408" s="4">
        <f>((-1.390002*(1.3/1.5))*0.6)-0.3</f>
        <v>-1.0228010400000001</v>
      </c>
    </row>
    <row r="3409" spans="1:6" x14ac:dyDescent="0.4">
      <c r="A3409" s="4">
        <v>2981.1694750000001</v>
      </c>
      <c r="B3409" s="4">
        <v>1.4093610000000001</v>
      </c>
      <c r="C3409" s="4">
        <v>1.4364748000000001</v>
      </c>
      <c r="D3409" s="4">
        <v>-30.845025</v>
      </c>
      <c r="E3409" s="4">
        <f>(((((((((-30.1566087/(10/9))+-10.5)+-0.4)*0.98)*1.11)*0.85)-6.5)+3.2)+-0.3)+0.3</f>
        <v>-38.473801592052901</v>
      </c>
      <c r="F3409" s="4">
        <f>((-1.3927729*(1.3/1.5))*0.6)-0.3</f>
        <v>-1.024241908</v>
      </c>
    </row>
    <row r="3410" spans="1:6" x14ac:dyDescent="0.4">
      <c r="A3410" s="4">
        <v>2982.0443999999998</v>
      </c>
      <c r="B3410" s="4">
        <v>1.4090033</v>
      </c>
      <c r="C3410" s="4">
        <v>1.4368356</v>
      </c>
      <c r="D3410" s="4">
        <v>-30.840775999999998</v>
      </c>
      <c r="E3410" s="4">
        <f>(((((((((-30.1553937/(10/9))+-10.5)+-0.4)*0.98)*1.11)*0.85)-6.5)+3.2)+-0.3)+0.3</f>
        <v>-38.472790509147899</v>
      </c>
      <c r="F3410" s="4">
        <f>((-1.3955752*(1.3/1.5))*0.6)-0.3</f>
        <v>-1.0256991039999999</v>
      </c>
    </row>
    <row r="3411" spans="1:6" x14ac:dyDescent="0.4">
      <c r="A3411" s="4">
        <v>2982.9193250000003</v>
      </c>
      <c r="B3411" s="4">
        <v>1.4095538000000001</v>
      </c>
      <c r="C3411" s="4">
        <v>1.4365730000000001</v>
      </c>
      <c r="D3411" s="4">
        <v>-30.836119999999998</v>
      </c>
      <c r="E3411" s="4">
        <f>(((((((((-30.1371525/(10/9))+-10.5)+-0.4)*0.98)*1.11)*0.85)-6.5)+3.2)+-0.3)+0.3</f>
        <v>-38.457610784467498</v>
      </c>
      <c r="F3411" s="4">
        <f>((-1.3981954*(1.3/1.5))*0.6)-0.3</f>
        <v>-1.0270616080000001</v>
      </c>
    </row>
    <row r="3412" spans="1:6" x14ac:dyDescent="0.4">
      <c r="A3412" s="4">
        <v>2983.7942499999999</v>
      </c>
      <c r="B3412" s="4">
        <v>1.4097712</v>
      </c>
      <c r="C3412" s="4">
        <v>1.4369361</v>
      </c>
      <c r="D3412" s="4">
        <v>-30.830894000000001</v>
      </c>
      <c r="E3412" s="4">
        <f>(((((((((-30.1701807/(10/9))+-10.5)+-0.4)*0.98)*1.11)*0.85)-6.5)+3.2)+-0.3)+0.3</f>
        <v>-38.485095762576897</v>
      </c>
      <c r="F3412" s="4">
        <f>((-1.4007707*(1.3/1.5))*0.6)-0.3</f>
        <v>-1.0284007639999999</v>
      </c>
    </row>
    <row r="3413" spans="1:6" x14ac:dyDescent="0.4">
      <c r="A3413" s="4">
        <v>2984.669175</v>
      </c>
      <c r="B3413" s="4">
        <v>1.4098010000000001</v>
      </c>
      <c r="C3413" s="4">
        <v>1.4366323999999999</v>
      </c>
      <c r="D3413" s="4">
        <v>-30.825702</v>
      </c>
      <c r="E3413" s="4">
        <f>(((((((((-30.1441842/(10/9))+-10.5)+-0.4)*0.98)*1.11)*0.85)-6.5)+3.2)+-0.3)+0.3</f>
        <v>-38.463462333161402</v>
      </c>
      <c r="F3413" s="4">
        <f>((-1.4033706*(1.3/1.5))*0.6)-0.3</f>
        <v>-1.0297527119999998</v>
      </c>
    </row>
    <row r="3414" spans="1:6" x14ac:dyDescent="0.4">
      <c r="A3414" s="4">
        <v>2985.5441000000001</v>
      </c>
      <c r="B3414" s="4">
        <v>1.4099893999999999</v>
      </c>
      <c r="C3414" s="4">
        <v>1.4366399999999999</v>
      </c>
      <c r="D3414" s="4">
        <v>-30.820557999999998</v>
      </c>
      <c r="E3414" s="4">
        <f>(((((((((-30.1615218/(10/9))+-10.5)+-0.4)*0.98)*1.11)*0.85)-6.5)+3.2)+-0.3)+0.3</f>
        <v>-38.477890111740599</v>
      </c>
      <c r="F3414" s="4">
        <f>((-1.4060491*(1.3/1.5))*0.6)-0.3</f>
        <v>-1.031145532</v>
      </c>
    </row>
    <row r="3415" spans="1:6" x14ac:dyDescent="0.4">
      <c r="A3415" s="4">
        <v>2986.4190249999997</v>
      </c>
      <c r="B3415" s="4">
        <v>1.410004</v>
      </c>
      <c r="C3415" s="4">
        <v>1.4364882999999999</v>
      </c>
      <c r="D3415" s="4">
        <v>-30.815294999999999</v>
      </c>
      <c r="E3415" s="4">
        <f>(((((((((-30.1788702/(10/9))+-10.5)+-0.4)*0.98)*1.11)*0.85)-6.5)+3.2)+-0.3)+0.3</f>
        <v>-38.4923268777234</v>
      </c>
      <c r="F3415" s="4">
        <f>((-1.4085863*(1.3/1.5))*0.6)-0.3</f>
        <v>-1.0324648760000001</v>
      </c>
    </row>
    <row r="3416" spans="1:6" x14ac:dyDescent="0.4">
      <c r="A3416" s="4">
        <v>2987.2939500000002</v>
      </c>
      <c r="B3416" s="4">
        <v>1.4101790999999999</v>
      </c>
      <c r="C3416" s="4">
        <v>1.4370782</v>
      </c>
      <c r="D3416" s="4">
        <v>-30.809663</v>
      </c>
      <c r="E3416" s="4">
        <f>(((((((((-30.1368024/(10/9))+-10.5)+-0.4)*0.98)*1.11)*0.85)-6.5)+3.2)+-0.3)+0.3</f>
        <v>-38.457319442800795</v>
      </c>
      <c r="F3416" s="4">
        <f>((-1.4109243*(1.3/1.5))*0.6)-0.3</f>
        <v>-1.0336806359999999</v>
      </c>
    </row>
    <row r="3417" spans="1:6" x14ac:dyDescent="0.4">
      <c r="A3417" s="4">
        <v>2988.1688749999998</v>
      </c>
      <c r="B3417" s="4">
        <v>1.4102526</v>
      </c>
      <c r="C3417" s="4">
        <v>1.4371328000000001</v>
      </c>
      <c r="D3417" s="4">
        <v>-30.803906999999999</v>
      </c>
      <c r="E3417" s="4">
        <f>(((((((((-30.197619/(10/9))+-10.5)+-0.4)*0.98)*1.11)*0.85)-6.5)+3.2)+-0.3)+0.3</f>
        <v>-38.50792901037299</v>
      </c>
      <c r="F3417" s="4">
        <f>((-1.4131258*(1.3/1.5))*0.6)-0.3</f>
        <v>-1.0348254159999999</v>
      </c>
    </row>
    <row r="3418" spans="1:6" x14ac:dyDescent="0.4">
      <c r="A3418" s="4">
        <v>2989.0437999999999</v>
      </c>
      <c r="B3418" s="4">
        <v>1.4106756</v>
      </c>
      <c r="C3418" s="4">
        <v>1.4372414</v>
      </c>
      <c r="D3418" s="4">
        <v>-30.798109999999998</v>
      </c>
      <c r="E3418" s="4">
        <f>(((((((((-30.1663728/(10/9))+-10.5)+-0.4)*0.98)*1.11)*0.85)-6.5)+3.2)+-0.3)+0.3</f>
        <v>-38.481926953857595</v>
      </c>
      <c r="F3418" s="4">
        <f>((-1.4152589*(1.3/1.5))*0.6)-0.3</f>
        <v>-1.0359346279999999</v>
      </c>
    </row>
    <row r="3419" spans="1:6" x14ac:dyDescent="0.4">
      <c r="A3419" s="4">
        <v>2989.918725</v>
      </c>
      <c r="B3419" s="4">
        <v>1.4108158</v>
      </c>
      <c r="C3419" s="4">
        <v>1.4375085999999999</v>
      </c>
      <c r="D3419" s="4">
        <v>-30.792591999999999</v>
      </c>
      <c r="E3419" s="4">
        <f>(((((((((-30.1570866/(10/9))+-10.5)+-0.4)*0.98)*1.11)*0.85)-6.5)+3.2)+-0.3)+0.3</f>
        <v>-38.474199284662191</v>
      </c>
      <c r="F3419" s="4">
        <f>((-1.4173067*(1.3/1.5))*0.6)-0.3</f>
        <v>-1.0369994840000001</v>
      </c>
    </row>
    <row r="3420" spans="1:6" x14ac:dyDescent="0.4">
      <c r="A3420" s="4">
        <v>2990.7936500000001</v>
      </c>
      <c r="B3420" s="4">
        <v>1.4106923</v>
      </c>
      <c r="C3420" s="4">
        <v>1.4376161999999999</v>
      </c>
      <c r="D3420" s="4">
        <v>-30.787167999999998</v>
      </c>
      <c r="E3420" s="4">
        <f>(((((((((-30.164859/(10/9))+-10.5)+-0.4)*0.98)*1.11)*0.85)-6.5)+3.2)+-0.3)+0.3</f>
        <v>-38.480667219452997</v>
      </c>
      <c r="F3420" s="4">
        <f>((-1.419299*(1.3/1.5))*0.6)-0.3</f>
        <v>-1.03803548</v>
      </c>
    </row>
    <row r="3421" spans="1:6" x14ac:dyDescent="0.4">
      <c r="A3421" s="4">
        <v>2991.6685750000001</v>
      </c>
      <c r="B3421" s="4">
        <v>1.4109223</v>
      </c>
      <c r="C3421" s="4">
        <v>1.4376180999999999</v>
      </c>
      <c r="D3421" s="4">
        <v>-30.781368999999998</v>
      </c>
      <c r="E3421" s="4">
        <f>(((((((((-30.1547898/(10/9))+-10.5)+-0.4)*0.98)*1.11)*0.85)-6.5)+3.2)+-0.3)+0.3</f>
        <v>-38.472287963496598</v>
      </c>
      <c r="F3421" s="4">
        <f>((-1.4211439*(1.3/1.5))*0.6)-0.3</f>
        <v>-1.0389948279999999</v>
      </c>
    </row>
    <row r="3422" spans="1:6" x14ac:dyDescent="0.4">
      <c r="A3422" s="4">
        <v>2992.5435000000002</v>
      </c>
      <c r="B3422" s="4">
        <v>1.4112864000000001</v>
      </c>
      <c r="C3422" s="4">
        <v>1.4377574</v>
      </c>
      <c r="D3422" s="4">
        <v>-30.775333</v>
      </c>
      <c r="E3422" s="4">
        <f>(((((((((-30.183021/(10/9))+-10.5)+-0.4)*0.98)*1.11)*0.85)-6.5)+3.2)+-0.3)+0.3</f>
        <v>-38.49578103650699</v>
      </c>
      <c r="F3422" s="4">
        <f>((-1.4228079*(1.3/1.5))*0.6)-0.3</f>
        <v>-1.0398601080000001</v>
      </c>
    </row>
    <row r="3423" spans="1:6" x14ac:dyDescent="0.4">
      <c r="A3423" s="4">
        <v>2993.4184249999998</v>
      </c>
      <c r="B3423" s="4">
        <v>1.4111767</v>
      </c>
      <c r="C3423" s="4">
        <v>1.4377297</v>
      </c>
      <c r="D3423" s="4">
        <v>-30.769379999999998</v>
      </c>
      <c r="E3423" s="4">
        <f>(((((((((-30.1926987/(10/9))+-10.5)+-0.4)*0.98)*1.11)*0.85)-6.5)+3.2)+-0.3)+0.3</f>
        <v>-38.503834499082892</v>
      </c>
      <c r="F3423" s="4">
        <f>((-1.4243402*(1.3/1.5))*0.6)-0.3</f>
        <v>-1.040656904</v>
      </c>
    </row>
    <row r="3424" spans="1:6" x14ac:dyDescent="0.4">
      <c r="A3424" s="4">
        <v>2994.2933499999999</v>
      </c>
      <c r="B3424" s="4">
        <v>1.411114</v>
      </c>
      <c r="C3424" s="4">
        <v>1.4378078999999999</v>
      </c>
      <c r="D3424" s="4">
        <v>-30.763717</v>
      </c>
      <c r="E3424" s="4">
        <f>(((((((((-30.1993839/(10/9))+-10.5)+-0.4)*0.98)*1.11)*0.85)-6.5)+3.2)+-0.3)+0.3</f>
        <v>-38.509397701911297</v>
      </c>
      <c r="F3424" s="4">
        <f>((-1.4257443*(1.3/1.5))*0.6)-0.3</f>
        <v>-1.0413870360000002</v>
      </c>
    </row>
    <row r="3425" spans="1:6" x14ac:dyDescent="0.4">
      <c r="A3425" s="4">
        <v>2995.168275</v>
      </c>
      <c r="B3425" s="4">
        <v>1.4111381999999999</v>
      </c>
      <c r="C3425" s="4">
        <v>1.4375560000000001</v>
      </c>
      <c r="D3425" s="4">
        <v>-30.758312999999998</v>
      </c>
      <c r="E3425" s="4">
        <f>(((((((((-30.1800546/(10/9))+-10.5)+-0.4)*0.98)*1.11)*0.85)-6.5)+3.2)+-0.3)+0.3</f>
        <v>-38.49331249631819</v>
      </c>
      <c r="F3425" s="4">
        <f>((-1.4270151*(1.3/1.5))*0.6)-0.3</f>
        <v>-1.0420478520000001</v>
      </c>
    </row>
    <row r="3426" spans="1:6" x14ac:dyDescent="0.4">
      <c r="A3426" s="4">
        <v>2996.0432000000001</v>
      </c>
      <c r="B3426" s="4">
        <v>1.4109896</v>
      </c>
      <c r="C3426" s="4">
        <v>1.4374682999999999</v>
      </c>
      <c r="D3426" s="4">
        <v>-30.752468999999998</v>
      </c>
      <c r="E3426" s="4">
        <f>(((((((((-30.1702833/(10/9))+-10.5)+-0.4)*0.98)*1.11)*0.85)-6.5)+3.2)+-0.3)+0.3</f>
        <v>-38.485181142911095</v>
      </c>
      <c r="F3426" s="4">
        <f>((-1.4280885*(1.3/1.5))*0.6)-0.3</f>
        <v>-1.04260602</v>
      </c>
    </row>
    <row r="3427" spans="1:6" x14ac:dyDescent="0.4">
      <c r="A3427" s="4">
        <v>2996.9181250000001</v>
      </c>
      <c r="B3427" s="4">
        <v>1.4111092000000001</v>
      </c>
      <c r="C3427" s="4">
        <v>1.4375358</v>
      </c>
      <c r="D3427" s="4">
        <v>-30.746527999999998</v>
      </c>
      <c r="E3427" s="4">
        <f>(((((((((-30.1907142/(10/9))+-10.5)+-0.4)*0.98)*1.11)*0.85)-6.5)+3.2)+-0.3)+0.3</f>
        <v>-38.502183063671396</v>
      </c>
      <c r="F3427" s="4">
        <f>((-1.4289997*(1.3/1.5))*0.6)-0.3</f>
        <v>-1.043079844</v>
      </c>
    </row>
    <row r="3428" spans="1:6" x14ac:dyDescent="0.4">
      <c r="A3428" s="4">
        <v>2997.7930499999998</v>
      </c>
      <c r="B3428" s="4">
        <v>1.4113636000000001</v>
      </c>
      <c r="C3428" s="4">
        <v>1.4375538999999999</v>
      </c>
      <c r="D3428" s="4">
        <v>-30.740758</v>
      </c>
      <c r="E3428" s="4">
        <f>(((((((((-30.2101875/(10/9))+-10.5)+-0.4)*0.98)*1.11)*0.85)-6.5)+3.2)+-0.3)+0.3</f>
        <v>-38.518388101312496</v>
      </c>
      <c r="F3428" s="4">
        <f>((-1.4298047*(1.3/1.5))*0.6)-0.3</f>
        <v>-1.0434984439999999</v>
      </c>
    </row>
    <row r="3429" spans="1:6" x14ac:dyDescent="0.4">
      <c r="A3429" s="4">
        <v>2998.6679750000003</v>
      </c>
      <c r="B3429" s="4">
        <v>1.4115213</v>
      </c>
      <c r="C3429" s="4">
        <v>1.4371923</v>
      </c>
      <c r="D3429" s="4">
        <v>-30.735135</v>
      </c>
      <c r="E3429" s="4">
        <f>(((((((((-30.2059377/(10/9))+-10.5)+-0.4)*0.98)*1.11)*0.85)-6.5)+3.2)+-0.3)+0.3</f>
        <v>-38.514851557995897</v>
      </c>
      <c r="F3429" s="4">
        <f>((-1.4304512*(1.3/1.5))*0.6)-0.3</f>
        <v>-1.043834624</v>
      </c>
    </row>
    <row r="3430" spans="1:6" x14ac:dyDescent="0.4">
      <c r="A3430" s="4">
        <v>2999.5428999999999</v>
      </c>
      <c r="B3430" s="4">
        <v>1.4117767999999999</v>
      </c>
      <c r="C3430" s="4">
        <v>1.4373020999999999</v>
      </c>
      <c r="D3430" s="4">
        <v>-30.729751</v>
      </c>
      <c r="E3430" s="4">
        <f>(((((((((-30.2085018/(10/9))+-10.5)+-0.4)*0.98)*1.11)*0.85)-6.5)+3.2)+-0.3)+0.3</f>
        <v>-38.516985317400589</v>
      </c>
      <c r="F3430" s="4">
        <f>((-1.4308443*(1.3/1.5))*0.6)-0.3</f>
        <v>-1.044039036</v>
      </c>
    </row>
    <row r="3431" spans="1:6" x14ac:dyDescent="0.4">
      <c r="A3431" s="4">
        <v>3000.417825</v>
      </c>
      <c r="B3431" s="4">
        <v>1.4114637000000001</v>
      </c>
      <c r="C3431" s="4">
        <v>1.4376112999999999</v>
      </c>
      <c r="D3431" s="4">
        <v>-30.724325999999998</v>
      </c>
      <c r="E3431" s="4">
        <f>(((((((((-30.2121792/(10/9))+-10.5)+-0.4)*0.98)*1.11)*0.85)-6.5)+3.2)+-0.3)+0.3</f>
        <v>-38.520045528326392</v>
      </c>
      <c r="F3431" s="4">
        <f>((-1.4309838*(1.3/1.5))*0.6)-0.3</f>
        <v>-1.0441115759999999</v>
      </c>
    </row>
    <row r="3432" spans="1:6" x14ac:dyDescent="0.4">
      <c r="A3432" s="4">
        <v>3001.2927500000001</v>
      </c>
      <c r="B3432" s="4">
        <v>1.4115321999999999</v>
      </c>
      <c r="C3432" s="4">
        <v>1.4371767</v>
      </c>
      <c r="D3432" s="4">
        <v>-30.719519999999999</v>
      </c>
      <c r="E3432" s="4">
        <f>(((((((((-30.183804/(10/9))+-10.5)+-0.4)*0.98)*1.11)*0.85)-6.5)+3.2)+-0.3)+0.3</f>
        <v>-38.496432623267992</v>
      </c>
      <c r="F3432" s="4">
        <f>((-1.4309946*(1.3/1.5))*0.6)-0.3</f>
        <v>-1.0441171919999999</v>
      </c>
    </row>
    <row r="3433" spans="1:6" x14ac:dyDescent="0.4">
      <c r="A3433" s="4">
        <v>3002.1676749999997</v>
      </c>
      <c r="B3433" s="4">
        <v>1.4120215</v>
      </c>
      <c r="C3433" s="4">
        <v>1.4378964999999999</v>
      </c>
      <c r="D3433" s="4">
        <v>-30.714538000000001</v>
      </c>
      <c r="E3433" s="4">
        <f>(((((((((-30.1848372/(10/9))+-10.5)+-0.4)*0.98)*1.11)*0.85)-6.5)+3.2)+-0.3)+0.3</f>
        <v>-38.497292418212396</v>
      </c>
      <c r="F3433" s="4">
        <f>((-1.4308851*(1.3/1.5))*0.6)-0.3</f>
        <v>-1.044060252</v>
      </c>
    </row>
    <row r="3434" spans="1:6" x14ac:dyDescent="0.4">
      <c r="A3434" s="4">
        <v>3003.0426000000002</v>
      </c>
      <c r="B3434" s="4">
        <v>1.4122825999999999</v>
      </c>
      <c r="C3434" s="4">
        <v>1.4379302</v>
      </c>
      <c r="D3434" s="4">
        <v>-30.709733</v>
      </c>
      <c r="E3434" s="4">
        <f>(((((((((-30.232071/(10/9))+-10.5)+-0.4)*0.98)*1.11)*0.85)-6.5)+3.2)+-0.3)+0.3</f>
        <v>-38.536598827856992</v>
      </c>
      <c r="F3434" s="4">
        <f>((-1.4305549*(1.3/1.5))*0.6)-0.3</f>
        <v>-1.043888548</v>
      </c>
    </row>
    <row r="3435" spans="1:6" x14ac:dyDescent="0.4">
      <c r="A3435" s="4">
        <v>3003.9175249999998</v>
      </c>
      <c r="B3435" s="4">
        <v>1.4126954</v>
      </c>
      <c r="C3435" s="4">
        <v>1.4381797000000001</v>
      </c>
      <c r="D3435" s="4">
        <v>-30.705427999999998</v>
      </c>
      <c r="E3435" s="4">
        <f>(((((((((-30.2216031/(10/9))+-10.5)+-0.4)*0.98)*1.11)*0.85)-6.5)+3.2)+-0.3)+0.3</f>
        <v>-38.527887786917695</v>
      </c>
      <c r="F3435" s="4">
        <f>((-1.4299743*(1.3/1.5))*0.6)-0.3</f>
        <v>-1.0435866360000001</v>
      </c>
    </row>
    <row r="3436" spans="1:6" x14ac:dyDescent="0.4">
      <c r="A3436" s="4">
        <v>3004.7924500000004</v>
      </c>
      <c r="B3436" s="4">
        <v>1.4129164000000001</v>
      </c>
      <c r="C3436" s="4">
        <v>1.4382899</v>
      </c>
      <c r="D3436" s="4">
        <v>-30.701287000000001</v>
      </c>
      <c r="E3436" s="4">
        <f>(((((((((-30.2210955/(10/9))+-10.5)+-0.4)*0.98)*1.11)*0.85)-6.5)+3.2)+-0.3)+0.3</f>
        <v>-38.527465378948492</v>
      </c>
      <c r="F3436" s="4">
        <f>((-1.4292389*(1.3/1.5))*0.6)-0.3</f>
        <v>-1.043204228</v>
      </c>
    </row>
    <row r="3437" spans="1:6" x14ac:dyDescent="0.4">
      <c r="A3437" s="4">
        <v>3005.667375</v>
      </c>
      <c r="B3437" s="4">
        <v>1.4130621999999999</v>
      </c>
      <c r="C3437" s="4">
        <v>1.4386375</v>
      </c>
      <c r="D3437" s="4">
        <v>-30.697153999999998</v>
      </c>
      <c r="E3437" s="4">
        <f>(((((((((-30.2340141/(10/9))+-10.5)+-0.4)*0.98)*1.11)*0.85)-6.5)+3.2)+-0.3)+0.3</f>
        <v>-38.538215811554693</v>
      </c>
      <c r="F3437" s="4">
        <f>((-1.4284163*(1.3/1.5))*0.6)-0.3</f>
        <v>-1.042776476</v>
      </c>
    </row>
    <row r="3438" spans="1:6" x14ac:dyDescent="0.4">
      <c r="A3438" s="4">
        <v>3006.5422999999996</v>
      </c>
      <c r="B3438" s="4">
        <v>1.4128839</v>
      </c>
      <c r="C3438" s="4">
        <v>1.438863</v>
      </c>
      <c r="D3438" s="4">
        <v>-30.693134999999998</v>
      </c>
      <c r="E3438" s="4">
        <f>(((((((((-30.2126634/(10/9))+-10.5)+-0.4)*0.98)*1.11)*0.85)-6.5)+3.2)+-0.3)+0.3</f>
        <v>-38.52044846358779</v>
      </c>
      <c r="F3438" s="4">
        <f>((-1.4274117*(1.3/1.5))*0.6)-0.3</f>
        <v>-1.0422540840000001</v>
      </c>
    </row>
    <row r="3439" spans="1:6" x14ac:dyDescent="0.4">
      <c r="A3439" s="4">
        <v>3007.4172250000001</v>
      </c>
      <c r="B3439" s="4">
        <v>1.4131921999999999</v>
      </c>
      <c r="C3439" s="4">
        <v>1.4389433</v>
      </c>
      <c r="D3439" s="4">
        <v>-30.689541999999999</v>
      </c>
      <c r="E3439" s="4">
        <f>(((((((((-30.2144076/(10/9))+-10.5)+-0.4)*0.98)*1.11)*0.85)-6.5)+3.2)+-0.3)+0.3</f>
        <v>-38.521899929269196</v>
      </c>
      <c r="F3439" s="4">
        <f>((-1.4262018*(1.3/1.5))*0.6)-0.3</f>
        <v>-1.0416249360000001</v>
      </c>
    </row>
    <row r="3440" spans="1:6" x14ac:dyDescent="0.4">
      <c r="A3440" s="4">
        <v>3008.2921499999998</v>
      </c>
      <c r="B3440" s="4">
        <v>1.4133316</v>
      </c>
      <c r="C3440" s="4">
        <v>1.4392939</v>
      </c>
      <c r="D3440" s="4">
        <v>-30.686188999999999</v>
      </c>
      <c r="E3440" s="4">
        <f>(((((((((-30.2241546/(10/9))+-10.5)+-0.4)*0.98)*1.11)*0.85)-6.5)+3.2)+-0.3)+0.3</f>
        <v>-38.530011061018193</v>
      </c>
      <c r="F3440" s="4">
        <f>((-1.4247988*(1.3/1.5))*0.6)-0.3</f>
        <v>-1.0408953760000001</v>
      </c>
    </row>
    <row r="3441" spans="1:6" x14ac:dyDescent="0.4">
      <c r="A3441" s="4">
        <v>3009.1670750000003</v>
      </c>
      <c r="B3441" s="4">
        <v>1.4137166999999999</v>
      </c>
      <c r="C3441" s="4">
        <v>1.4395434</v>
      </c>
      <c r="D3441" s="4">
        <v>-30.682991999999999</v>
      </c>
      <c r="E3441" s="4">
        <f>(((((((((-30.2397687/(10/9))+-10.5)+-0.4)*0.98)*1.11)*0.85)-6.5)+3.2)+-0.3)+0.3</f>
        <v>-38.5430045997729</v>
      </c>
      <c r="F3441" s="4">
        <f>((-1.4232237*(1.3/1.5))*0.6)-0.3</f>
        <v>-1.0400763239999999</v>
      </c>
    </row>
    <row r="3442" spans="1:6" x14ac:dyDescent="0.4">
      <c r="A3442" s="4">
        <v>3010.0419999999999</v>
      </c>
      <c r="B3442" s="4">
        <v>1.4135108000000001</v>
      </c>
      <c r="C3442" s="4">
        <v>1.4399344000000001</v>
      </c>
      <c r="D3442" s="4">
        <v>-30.680592999999998</v>
      </c>
      <c r="E3442" s="4">
        <f>(((((((((-30.1979826/(10/9))+-10.5)+-0.4)*0.98)*1.11)*0.85)-6.5)+3.2)+-0.3)+0.3</f>
        <v>-38.508231586294194</v>
      </c>
      <c r="F3442" s="4">
        <f>((-1.421524*(1.3/1.5))*0.6)-0.3</f>
        <v>-1.0391924800000001</v>
      </c>
    </row>
    <row r="3443" spans="1:6" x14ac:dyDescent="0.4">
      <c r="A3443" s="4">
        <v>3010.916925</v>
      </c>
      <c r="B3443" s="4">
        <v>1.413861</v>
      </c>
      <c r="C3443" s="4">
        <v>1.4400797999999999</v>
      </c>
      <c r="D3443" s="4">
        <v>-30.678599999999999</v>
      </c>
      <c r="E3443" s="4">
        <f>(((((((((-30.2185206/(10/9))+-10.5)+-0.4)*0.98)*1.11)*0.85)-6.5)+3.2)+-0.3)+0.3</f>
        <v>-38.525322632140202</v>
      </c>
      <c r="F3443" s="4">
        <f>((-1.4196558*(1.3/1.5))*0.6)-0.3</f>
        <v>-1.0382210159999998</v>
      </c>
    </row>
    <row r="3444" spans="1:6" x14ac:dyDescent="0.4">
      <c r="A3444" s="4">
        <v>3011.7918500000001</v>
      </c>
      <c r="B3444" s="4">
        <v>1.4137218</v>
      </c>
      <c r="C3444" s="4">
        <v>1.4400156</v>
      </c>
      <c r="D3444" s="4">
        <v>-30.676631</v>
      </c>
      <c r="E3444" s="4">
        <f>(((((((((-30.201399/(10/9))+-10.5)+-0.4)*0.98)*1.11)*0.85)-6.5)+3.2)+-0.3)+0.3</f>
        <v>-38.511074601632998</v>
      </c>
      <c r="F3444" s="4">
        <f>((-1.4176019*(1.3/1.5))*0.6)-0.3</f>
        <v>-1.0371529879999999</v>
      </c>
    </row>
    <row r="3445" spans="1:6" x14ac:dyDescent="0.4">
      <c r="A3445" s="4">
        <v>3012.6667749999997</v>
      </c>
      <c r="B3445" s="4">
        <v>1.4141771000000001</v>
      </c>
      <c r="C3445" s="4">
        <v>1.4404041000000001</v>
      </c>
      <c r="D3445" s="4">
        <v>-30.674807999999999</v>
      </c>
      <c r="E3445" s="4">
        <f>(((((((((-30.2141124/(10/9))+-10.5)+-0.4)*0.98)*1.11)*0.85)-6.5)+3.2)+-0.3)+0.3</f>
        <v>-38.521654273570796</v>
      </c>
      <c r="F3445" s="4">
        <f>((-1.4153229*(1.3/1.5))*0.6)-0.3</f>
        <v>-1.0359679080000002</v>
      </c>
    </row>
    <row r="3446" spans="1:6" x14ac:dyDescent="0.4">
      <c r="A3446" s="4">
        <v>3013.5417000000002</v>
      </c>
      <c r="B3446" s="4">
        <v>1.4138212999999999</v>
      </c>
      <c r="C3446" s="4">
        <v>1.4406049000000001</v>
      </c>
      <c r="D3446" s="4">
        <v>-30.673061000000001</v>
      </c>
      <c r="E3446" s="4">
        <f>(((((((((-30.2143149/(10/9))+-10.5)+-0.4)*0.98)*1.11)*0.85)-6.5)+3.2)+-0.3)+0.3</f>
        <v>-38.521822787388295</v>
      </c>
      <c r="F3446" s="4">
        <f>((-1.4129031*(1.3/1.5))*0.6)-0.3</f>
        <v>-1.0347096119999999</v>
      </c>
    </row>
    <row r="3447" spans="1:6" x14ac:dyDescent="0.4">
      <c r="A3447" s="4">
        <v>3014.4166249999998</v>
      </c>
      <c r="B3447" s="4">
        <v>1.4142920000000001</v>
      </c>
      <c r="C3447" s="4">
        <v>1.4407368</v>
      </c>
      <c r="D3447" s="4">
        <v>-30.671578999999998</v>
      </c>
      <c r="E3447" s="4">
        <f>(((((((((-30.2052096/(10/9))+-10.5)+-0.4)*0.98)*1.11)*0.85)-6.5)+3.2)+-0.3)+0.3</f>
        <v>-38.51424565720319</v>
      </c>
      <c r="F3447" s="4">
        <f>((-1.4103081*(1.3/1.5))*0.6)-0.3</f>
        <v>-1.0333602120000001</v>
      </c>
    </row>
    <row r="3448" spans="1:6" x14ac:dyDescent="0.4">
      <c r="A3448" s="4">
        <v>3015.2915499999999</v>
      </c>
      <c r="B3448" s="4">
        <v>1.4144052</v>
      </c>
      <c r="C3448" s="4">
        <v>1.4408363</v>
      </c>
      <c r="D3448" s="4">
        <v>-30.670300999999998</v>
      </c>
      <c r="E3448" s="4">
        <f>(((((((((-30.2320269/(10/9))+-10.5)+-0.4)*0.98)*1.11)*0.85)-6.5)+3.2)+-0.3)+0.3</f>
        <v>-38.5365621292923</v>
      </c>
      <c r="F3448" s="4">
        <f>((-1.4076321*(1.3/1.5))*0.6)-0.3</f>
        <v>-1.031968692</v>
      </c>
    </row>
    <row r="3449" spans="1:6" x14ac:dyDescent="0.4">
      <c r="A3449" s="4">
        <v>3016.166475</v>
      </c>
      <c r="B3449" s="4">
        <v>1.4144139</v>
      </c>
      <c r="C3449" s="4">
        <v>1.4412465000000001</v>
      </c>
      <c r="D3449" s="4">
        <v>-30.669988</v>
      </c>
      <c r="E3449" s="4">
        <f>(((((((((-30.2076819/(10/9))+-10.5)+-0.4)*0.98)*1.11)*0.85)-6.5)+3.2)+-0.3)+0.3</f>
        <v>-38.516303023677295</v>
      </c>
      <c r="F3449" s="4">
        <f>((-1.404812*(1.3/1.5))*0.6)-0.3</f>
        <v>-1.0305022399999999</v>
      </c>
    </row>
    <row r="3450" spans="1:6" x14ac:dyDescent="0.4">
      <c r="A3450" s="4">
        <v>3017.0414000000001</v>
      </c>
      <c r="B3450" s="4">
        <v>1.4147544999999999</v>
      </c>
      <c r="C3450" s="4">
        <v>1.441157</v>
      </c>
      <c r="D3450" s="4">
        <v>-30.669559</v>
      </c>
      <c r="E3450" s="4">
        <f>(((((((((-30.1975362/(10/9))+-10.5)+-0.4)*0.98)*1.11)*0.85)-6.5)+3.2)+-0.3)+0.3</f>
        <v>-38.507860106945394</v>
      </c>
      <c r="F3450" s="4">
        <f>((-1.4017832*(1.3/1.5))*0.6)-0.3</f>
        <v>-1.028927264</v>
      </c>
    </row>
    <row r="3451" spans="1:6" x14ac:dyDescent="0.4">
      <c r="A3451" s="4">
        <v>3017.9163250000001</v>
      </c>
      <c r="B3451" s="4">
        <v>1.4145426000000001</v>
      </c>
      <c r="C3451" s="4">
        <v>1.4412065000000001</v>
      </c>
      <c r="D3451" s="4">
        <v>-30.669560999999998</v>
      </c>
      <c r="E3451" s="4">
        <f>(((((((((-30.2195295/(10/9))+-10.5)+-0.4)*0.98)*1.11)*0.85)-6.5)+3.2)+-0.3)+0.3</f>
        <v>-38.526162205426495</v>
      </c>
      <c r="F3451" s="4">
        <f>((-1.3987074*(1.3/1.5))*0.6)-0.3</f>
        <v>-1.0273278479999999</v>
      </c>
    </row>
    <row r="3452" spans="1:6" x14ac:dyDescent="0.4">
      <c r="A3452" s="4">
        <v>3018.7912500000002</v>
      </c>
      <c r="B3452" s="4">
        <v>1.4150583999999999</v>
      </c>
      <c r="C3452" s="4">
        <v>1.4413530000000001</v>
      </c>
      <c r="D3452" s="4">
        <v>-30.670151999999998</v>
      </c>
      <c r="E3452" s="4">
        <f>(((((((((-30.2197842/(10/9))+-10.5)+-0.4)*0.98)*1.11)*0.85)-6.5)+3.2)+-0.3)+0.3</f>
        <v>-38.526374158361392</v>
      </c>
      <c r="F3452" s="4">
        <f>((-1.395532*(1.3/1.5))*0.6)-0.3</f>
        <v>-1.0256766399999999</v>
      </c>
    </row>
    <row r="3453" spans="1:6" x14ac:dyDescent="0.4">
      <c r="A3453" s="4">
        <v>3019.6661749999998</v>
      </c>
      <c r="B3453" s="4">
        <v>1.4152891999999999</v>
      </c>
      <c r="C3453" s="4">
        <v>1.4416614999999999</v>
      </c>
      <c r="D3453" s="4">
        <v>-30.671067000000001</v>
      </c>
      <c r="E3453" s="4">
        <f>(((((((((-30.1988412/(10/9))+-10.5)+-0.4)*0.98)*1.11)*0.85)-6.5)+3.2)+-0.3)+0.3</f>
        <v>-38.508946084880399</v>
      </c>
      <c r="F3453" s="4">
        <f>((-1.3922313*(1.3/1.5))*0.6)-0.3</f>
        <v>-1.0239602759999999</v>
      </c>
    </row>
    <row r="3454" spans="1:6" x14ac:dyDescent="0.4">
      <c r="A3454" s="4">
        <v>3020.5410999999999</v>
      </c>
      <c r="B3454" s="4">
        <v>1.4154465000000001</v>
      </c>
      <c r="C3454" s="4">
        <v>1.4419241</v>
      </c>
      <c r="D3454" s="4">
        <v>-30.672077999999999</v>
      </c>
      <c r="E3454" s="4">
        <f>(((((((((-30.2161896/(10/9))+-10.5)+-0.4)*0.98)*1.11)*0.85)-6.5)+3.2)+-0.3)+0.3</f>
        <v>-38.5233828508632</v>
      </c>
      <c r="F3454" s="4">
        <f>((-1.3887666*(1.3/1.5))*0.6)-0.3</f>
        <v>-1.022158632</v>
      </c>
    </row>
    <row r="3455" spans="1:6" x14ac:dyDescent="0.4">
      <c r="A3455" s="4">
        <v>3021.416025</v>
      </c>
      <c r="B3455" s="4">
        <v>1.4154930999999999</v>
      </c>
      <c r="C3455" s="4">
        <v>1.4419514</v>
      </c>
      <c r="D3455" s="4">
        <v>-30.673490000000001</v>
      </c>
      <c r="E3455" s="4">
        <f>(((((((((-30.1692024/(10/9))+-10.5)+-0.4)*0.98)*1.11)*0.85)-6.5)+3.2)+-0.3)+0.3</f>
        <v>-38.484281653600796</v>
      </c>
      <c r="F3455" s="4">
        <f>((-1.3852438*(1.3/1.5))*0.6)-0.3</f>
        <v>-1.0203267760000001</v>
      </c>
    </row>
    <row r="3456" spans="1:6" x14ac:dyDescent="0.4">
      <c r="A3456" s="4">
        <v>3022.2909500000001</v>
      </c>
      <c r="B3456" s="4">
        <v>1.4157770000000001</v>
      </c>
      <c r="C3456" s="4">
        <v>1.4421393</v>
      </c>
      <c r="D3456" s="4">
        <v>-30.675322999999999</v>
      </c>
      <c r="E3456" s="4">
        <f>(((((((((-30.1903299/(10/9))+-10.5)+-0.4)*0.98)*1.11)*0.85)-6.5)+3.2)+-0.3)+0.3</f>
        <v>-38.501863261893298</v>
      </c>
      <c r="F3456" s="4">
        <f>((-1.3818099*(1.3/1.5))*0.6)-0.3</f>
        <v>-1.018541148</v>
      </c>
    </row>
    <row r="3457" spans="1:6" x14ac:dyDescent="0.4">
      <c r="A3457" s="4">
        <v>3023.1658750000001</v>
      </c>
      <c r="B3457" s="4">
        <v>1.4157791</v>
      </c>
      <c r="C3457" s="4">
        <v>1.4418393</v>
      </c>
      <c r="D3457" s="4">
        <v>-30.677904999999999</v>
      </c>
      <c r="E3457" s="4">
        <f>(((((((((-30.2028822/(10/9))+-10.5)+-0.4)*0.98)*1.11)*0.85)-6.5)+3.2)+-0.3)+0.3</f>
        <v>-38.512308871727392</v>
      </c>
      <c r="F3457" s="4">
        <f>((-1.3783445*(1.3/1.5))*0.6)-0.3</f>
        <v>-1.0167391400000001</v>
      </c>
    </row>
    <row r="3458" spans="1:6" x14ac:dyDescent="0.4">
      <c r="A3458" s="4">
        <v>3024.0407999999998</v>
      </c>
      <c r="B3458" s="4">
        <v>1.4154279000000001</v>
      </c>
      <c r="C3458" s="4">
        <v>1.4421111</v>
      </c>
      <c r="D3458" s="4">
        <v>-30.680937999999998</v>
      </c>
      <c r="E3458" s="4">
        <f>(((((((((-30.1759587/(10/9))+-10.5)+-0.4)*0.98)*1.11)*0.85)-6.5)+3.2)+-0.3)+0.3</f>
        <v>-38.489904023502902</v>
      </c>
      <c r="F3458" s="4">
        <f>((-1.3748589*(1.3/1.5))*0.6)-0.3</f>
        <v>-1.014926628</v>
      </c>
    </row>
    <row r="3459" spans="1:6" x14ac:dyDescent="0.4">
      <c r="A3459" s="4">
        <v>3024.9157250000003</v>
      </c>
      <c r="B3459" s="4">
        <v>1.4155403</v>
      </c>
      <c r="C3459" s="4">
        <v>1.4420465</v>
      </c>
      <c r="D3459" s="4">
        <v>-30.684283000000001</v>
      </c>
      <c r="E3459" s="4">
        <f>(((((((((-30.1789215/(10/9))+-10.5)+-0.4)*0.98)*1.11)*0.85)-6.5)+3.2)+-0.3)+0.3</f>
        <v>-38.492369567890499</v>
      </c>
      <c r="F3459" s="4">
        <f>((-1.371344*(1.3/1.5))*0.6)-0.3</f>
        <v>-1.01309888</v>
      </c>
    </row>
    <row r="3460" spans="1:6" x14ac:dyDescent="0.4">
      <c r="A3460" s="4">
        <v>3025.7906499999999</v>
      </c>
      <c r="B3460" s="4">
        <v>1.4161135</v>
      </c>
      <c r="C3460" s="4">
        <v>1.4424851999999999</v>
      </c>
      <c r="D3460" s="4">
        <v>-30.687448</v>
      </c>
      <c r="E3460" s="4">
        <f>(((((((((-30.1947417/(10/9))+-10.5)+-0.4)*0.98)*1.11)*0.85)-6.5)+3.2)+-0.3)+0.3</f>
        <v>-38.505534616263894</v>
      </c>
      <c r="F3460" s="4">
        <f>((-1.367802*(1.3/1.5))*0.6)-0.3</f>
        <v>-1.0112570399999998</v>
      </c>
    </row>
    <row r="3461" spans="1:6" x14ac:dyDescent="0.4">
      <c r="A3461" s="4">
        <v>3026.665575</v>
      </c>
      <c r="B3461" s="4">
        <v>1.4162872</v>
      </c>
      <c r="C3461" s="4">
        <v>1.4426148999999999</v>
      </c>
      <c r="D3461" s="4">
        <v>-30.691185999999998</v>
      </c>
      <c r="E3461" s="4">
        <f>(((((((((-30.1883049/(10/9))+-10.5)+-0.4)*0.98)*1.11)*0.85)-6.5)+3.2)+-0.3)+0.3</f>
        <v>-38.500178123718285</v>
      </c>
      <c r="F3461" s="4">
        <f>((-1.3643024*(1.3/1.5))*0.6)-0.3</f>
        <v>-1.0094372479999998</v>
      </c>
    </row>
    <row r="3462" spans="1:6" x14ac:dyDescent="0.4">
      <c r="A3462" s="4">
        <v>3027.5405000000001</v>
      </c>
      <c r="B3462" s="4">
        <v>1.4162161</v>
      </c>
      <c r="C3462" s="4">
        <v>1.4425631999999999</v>
      </c>
      <c r="D3462" s="4">
        <v>-30.695094000000001</v>
      </c>
      <c r="E3462" s="4">
        <f>(((((((((-30.1424607/(10/9))+-10.5)+-0.4)*0.98)*1.11)*0.85)-6.5)+3.2)+-0.3)+0.3</f>
        <v>-38.462028093336897</v>
      </c>
      <c r="F3462" s="4">
        <f>((-1.3608024*(1.3/1.5))*0.6)-0.3</f>
        <v>-1.0076172480000001</v>
      </c>
    </row>
    <row r="3463" spans="1:6" x14ac:dyDescent="0.4">
      <c r="A3463" s="4">
        <v>3028.4154249999997</v>
      </c>
      <c r="B3463" s="4">
        <v>1.4163173</v>
      </c>
      <c r="C3463" s="4">
        <v>1.4421211</v>
      </c>
      <c r="D3463" s="4">
        <v>-30.699289</v>
      </c>
      <c r="E3463" s="4">
        <f>(((((((((-30.1898187/(10/9))+-10.5)+-0.4)*0.98)*1.11)*0.85)-6.5)+3.2)+-0.3)+0.3</f>
        <v>-38.501437858122898</v>
      </c>
      <c r="F3463" s="4">
        <f>((-1.3573736*(1.3/1.5))*0.6)-0.3</f>
        <v>-1.005834272</v>
      </c>
    </row>
    <row r="3464" spans="1:6" x14ac:dyDescent="0.4">
      <c r="A3464" s="4">
        <v>3029.2903500000002</v>
      </c>
      <c r="B3464" s="4">
        <v>1.4162395999999999</v>
      </c>
      <c r="C3464" s="4">
        <v>1.4421866000000001</v>
      </c>
      <c r="D3464" s="4">
        <v>-30.703545999999999</v>
      </c>
      <c r="E3464" s="4">
        <f>(((((((((-30.1668057/(10/9))+-10.5)+-0.4)*0.98)*1.11)*0.85)-6.5)+3.2)+-0.3)+0.3</f>
        <v>-38.482287198951894</v>
      </c>
      <c r="F3464" s="4">
        <f>((-1.354053*(1.3/1.5))*0.6)-0.3</f>
        <v>-1.00410756</v>
      </c>
    </row>
    <row r="3465" spans="1:6" x14ac:dyDescent="0.4">
      <c r="A3465" s="4">
        <v>3030.1652749999998</v>
      </c>
      <c r="B3465" s="4">
        <v>1.4162942999999999</v>
      </c>
      <c r="C3465" s="4">
        <v>1.4419073</v>
      </c>
      <c r="D3465" s="4">
        <v>-30.708203999999999</v>
      </c>
      <c r="E3465" s="4">
        <f>(((((((((-30.1885245/(10/9))+-10.5)+-0.4)*0.98)*1.11)*0.85)-6.5)+3.2)+-0.3)+0.3</f>
        <v>-38.500360867591496</v>
      </c>
      <c r="F3465" s="4">
        <f>((-1.3507558*(1.3/1.5))*0.6)-0.3</f>
        <v>-1.0023930159999999</v>
      </c>
    </row>
    <row r="3466" spans="1:6" x14ac:dyDescent="0.4">
      <c r="A3466" s="4">
        <v>3031.0402000000004</v>
      </c>
      <c r="B3466" s="4">
        <v>1.4165757000000001</v>
      </c>
      <c r="C3466" s="4">
        <v>1.4417038</v>
      </c>
      <c r="D3466" s="4">
        <v>-30.713604999999998</v>
      </c>
      <c r="E3466" s="4">
        <f>(((((((((-30.1355874/(10/9))+-10.5)+-0.4)*0.98)*1.11)*0.85)-6.5)+3.2)+-0.3)+0.3</f>
        <v>-38.456308359895793</v>
      </c>
      <c r="F3466" s="4">
        <f>((-1.3475167*(1.3/1.5))*0.6)-0.3</f>
        <v>-1.0007086839999999</v>
      </c>
    </row>
    <row r="3467" spans="1:6" x14ac:dyDescent="0.4">
      <c r="A3467" s="4">
        <v>3031.915125</v>
      </c>
      <c r="B3467" s="4">
        <v>1.4169288</v>
      </c>
      <c r="C3467" s="4">
        <v>1.4416720999999999</v>
      </c>
      <c r="D3467" s="4">
        <v>-30.719196999999998</v>
      </c>
      <c r="E3467" s="4">
        <f>(((((((((-30.1690647/(10/9))+-10.5)+-0.4)*0.98)*1.11)*0.85)-6.5)+3.2)+-0.3)+0.3</f>
        <v>-38.484167064204897</v>
      </c>
      <c r="F3467" s="4">
        <f>((-1.3443161*(1.3/1.5))*0.6)-0.3</f>
        <v>-0.99904437199999996</v>
      </c>
    </row>
    <row r="3468" spans="1:6" x14ac:dyDescent="0.4">
      <c r="A3468" s="4">
        <v>3032.7900499999996</v>
      </c>
      <c r="B3468" s="4">
        <v>1.4166453999999999</v>
      </c>
      <c r="C3468" s="4">
        <v>1.4419078999999999</v>
      </c>
      <c r="D3468" s="4">
        <v>-30.724848999999999</v>
      </c>
      <c r="E3468" s="4">
        <f>(((((((((-30.151116/(10/9))+-10.5)+-0.4)*0.98)*1.11)*0.85)-6.5)+3.2)+-0.3)+0.3</f>
        <v>-38.469230748371999</v>
      </c>
      <c r="F3468" s="4">
        <f>((-1.341154*(1.3/1.5))*0.6)-0.3</f>
        <v>-0.99740008000000002</v>
      </c>
    </row>
    <row r="3469" spans="1:6" x14ac:dyDescent="0.4">
      <c r="A3469" s="4">
        <v>3033.6649750000001</v>
      </c>
      <c r="B3469" s="4">
        <v>1.4169513</v>
      </c>
      <c r="C3469" s="4">
        <v>1.441624</v>
      </c>
      <c r="D3469" s="4">
        <v>-30.730366999999998</v>
      </c>
      <c r="E3469" s="4">
        <f>(((((((((-30.1732875/(10/9))+-10.5)+-0.4)*0.98)*1.11)*0.85)-6.5)+3.2)+-0.3)+0.3</f>
        <v>-38.487681139012494</v>
      </c>
      <c r="F3469" s="4">
        <f>((-1.3380309*(1.3/1.5))*0.6)-0.3</f>
        <v>-0.99577606799999985</v>
      </c>
    </row>
    <row r="3470" spans="1:6" x14ac:dyDescent="0.4">
      <c r="A3470" s="4">
        <v>3034.5398999999998</v>
      </c>
      <c r="B3470" s="4">
        <v>1.4169273</v>
      </c>
      <c r="C3470" s="4">
        <v>1.4417378999999999</v>
      </c>
      <c r="D3470" s="4">
        <v>-30.736207</v>
      </c>
      <c r="E3470" s="4">
        <f>(((((((((-30.1356387/(10/9))+-10.5)+-0.4)*0.98)*1.11)*0.85)-6.5)+3.2)+-0.3)+0.3</f>
        <v>-38.456351050062899</v>
      </c>
      <c r="F3470" s="4">
        <f>((-1.3351834*(1.3/1.5))*0.6)-0.3</f>
        <v>-0.99429536799999996</v>
      </c>
    </row>
    <row r="3471" spans="1:6" x14ac:dyDescent="0.4">
      <c r="A3471" s="4">
        <v>3035.4148250000003</v>
      </c>
      <c r="B3471" s="4">
        <v>1.4170668</v>
      </c>
      <c r="C3471" s="4">
        <v>1.44154</v>
      </c>
      <c r="D3471" s="4">
        <v>-30.742158</v>
      </c>
      <c r="E3471" s="4">
        <f>(((((((((-30.1295313/(10/9))+-10.5)+-0.4)*0.98)*1.11)*0.85)-6.5)+3.2)+-0.3)+0.3</f>
        <v>-38.451268673327093</v>
      </c>
      <c r="F3471" s="4">
        <f>((-1.3325164*(1.3/1.5))*0.6)-0.3</f>
        <v>-0.99290852800000007</v>
      </c>
    </row>
    <row r="3472" spans="1:6" x14ac:dyDescent="0.4">
      <c r="A3472" s="4">
        <v>3036.2897499999999</v>
      </c>
      <c r="B3472" s="4">
        <v>1.4171514999999999</v>
      </c>
      <c r="C3472" s="4">
        <v>1.4413753</v>
      </c>
      <c r="D3472" s="4">
        <v>-30.748414</v>
      </c>
      <c r="E3472" s="4">
        <f>(((((((((-30.1527846/(10/9))+-10.5)+-0.4)*0.98)*1.11)*0.85)-6.5)+3.2)+-0.3)+0.3</f>
        <v>-38.470619302228201</v>
      </c>
      <c r="F3472" s="4">
        <f>((-1.3299333*(1.3/1.5))*0.6)-0.3</f>
        <v>-0.99156531599999997</v>
      </c>
    </row>
    <row r="3473" spans="1:6" x14ac:dyDescent="0.4">
      <c r="A3473" s="4">
        <v>3037.164675</v>
      </c>
      <c r="B3473" s="4">
        <v>1.4173408999999999</v>
      </c>
      <c r="C3473" s="4">
        <v>1.4413746999999999</v>
      </c>
      <c r="D3473" s="4">
        <v>-30.754690999999998</v>
      </c>
      <c r="E3473" s="4">
        <f>(((((((((-30.1387869/(10/9))+-10.5)+-0.4)*0.98)*1.11)*0.85)-6.5)+3.2)+-0.3)+0.3</f>
        <v>-38.458970878212298</v>
      </c>
      <c r="F3473" s="4">
        <f>((-1.3274668*(1.3/1.5))*0.6)-0.3</f>
        <v>-0.99028273599999994</v>
      </c>
    </row>
    <row r="3474" spans="1:6" x14ac:dyDescent="0.4">
      <c r="A3474" s="4">
        <v>3038.0396000000001</v>
      </c>
      <c r="B3474" s="4">
        <v>1.4175304</v>
      </c>
      <c r="C3474" s="4">
        <v>1.4415487</v>
      </c>
      <c r="D3474" s="4">
        <v>-30.761036999999998</v>
      </c>
      <c r="E3474" s="4">
        <f>(((((((((-30.1366449/(10/9))+-10.5)+-0.4)*0.98)*1.11)*0.85)-6.5)+3.2)+-0.3)+0.3</f>
        <v>-38.457188376498294</v>
      </c>
      <c r="F3474" s="4">
        <f>((-1.3252022*(1.3/1.5))*0.6)-0.3</f>
        <v>-0.98910514400000005</v>
      </c>
    </row>
    <row r="3475" spans="1:6" x14ac:dyDescent="0.4">
      <c r="A3475" s="4">
        <v>3038.9145249999997</v>
      </c>
      <c r="B3475" s="4">
        <v>1.4175549999999999</v>
      </c>
      <c r="C3475" s="4">
        <v>1.4416977</v>
      </c>
      <c r="D3475" s="4">
        <v>-30.767403999999999</v>
      </c>
      <c r="E3475" s="4">
        <f>(((((((((-30.1457088/(10/9))+-10.5)+-0.4)*0.98)*1.11)*0.85)-6.5)+3.2)+-0.3)+0.3</f>
        <v>-38.464731054969597</v>
      </c>
      <c r="F3475" s="4">
        <f>((-1.3231378*(1.3/1.5))*0.6)-0.3</f>
        <v>-0.98803165599999998</v>
      </c>
    </row>
    <row r="3476" spans="1:6" x14ac:dyDescent="0.4">
      <c r="A3476" s="4">
        <v>3039.7894500000002</v>
      </c>
      <c r="B3476" s="4">
        <v>1.4177941000000001</v>
      </c>
      <c r="C3476" s="4">
        <v>1.4420185000000001</v>
      </c>
      <c r="D3476" s="4">
        <v>-30.773893000000001</v>
      </c>
      <c r="E3476" s="4">
        <f>(((((((((-30.133026/(10/9))+-10.5)+-0.4)*0.98)*1.11)*0.85)-6.5)+3.2)+-0.3)+0.3</f>
        <v>-38.454176847341998</v>
      </c>
      <c r="F3476" s="4">
        <f>((-1.3212396*(1.3/1.5))*0.6)-0.3</f>
        <v>-0.98704459199999994</v>
      </c>
    </row>
    <row r="3477" spans="1:6" x14ac:dyDescent="0.4">
      <c r="A3477" s="4">
        <v>3040.6643749999998</v>
      </c>
      <c r="B3477" s="4">
        <v>1.4178058</v>
      </c>
      <c r="C3477" s="4">
        <v>1.4418915999999999</v>
      </c>
      <c r="D3477" s="4">
        <v>-30.780525999999998</v>
      </c>
      <c r="E3477" s="4">
        <f>(((((((((-30.1364658/(10/9))+-10.5)+-0.4)*0.98)*1.11)*0.85)-6.5)+3.2)+-0.3)+0.3</f>
        <v>-38.457039335388593</v>
      </c>
      <c r="F3477" s="4">
        <f>((-1.3194646*(1.3/1.5))*0.6)-0.3</f>
        <v>-0.98612159199999994</v>
      </c>
    </row>
    <row r="3478" spans="1:6" x14ac:dyDescent="0.4">
      <c r="A3478" s="4">
        <v>3041.5392999999999</v>
      </c>
      <c r="B3478" s="4">
        <v>1.4177535000000001</v>
      </c>
      <c r="C3478" s="4">
        <v>1.4417956999999999</v>
      </c>
      <c r="D3478" s="4">
        <v>-30.787492</v>
      </c>
      <c r="E3478" s="4">
        <f>(((((((((-30.114648/(10/9))+-10.5)+-0.4)*0.98)*1.11)*0.85)-6.5)+3.2)+-0.3)+0.3</f>
        <v>-38.43888328221599</v>
      </c>
      <c r="F3478" s="4">
        <f>((-1.3178267*(1.3/1.5))*0.6)-0.3</f>
        <v>-0.98526988400000004</v>
      </c>
    </row>
    <row r="3479" spans="1:6" x14ac:dyDescent="0.4">
      <c r="A3479" s="4">
        <v>3042.414225</v>
      </c>
      <c r="B3479" s="4">
        <v>1.4177013999999999</v>
      </c>
      <c r="C3479" s="4">
        <v>1.4419907000000001</v>
      </c>
      <c r="D3479" s="4">
        <v>-30.794086</v>
      </c>
      <c r="E3479" s="4">
        <f>(((((((((-30.1413204/(10/9))+-10.5)+-0.4)*0.98)*1.11)*0.85)-6.5)+3.2)+-0.3)+0.3</f>
        <v>-38.461079173306807</v>
      </c>
      <c r="F3479" s="4">
        <f>((-1.3164719*(1.3/1.5))*0.6)-0.3</f>
        <v>-0.98456538800000004</v>
      </c>
    </row>
    <row r="3480" spans="1:6" x14ac:dyDescent="0.4">
      <c r="A3480" s="4">
        <v>3043.2891500000001</v>
      </c>
      <c r="B3480" s="4">
        <v>1.4175184999999999</v>
      </c>
      <c r="C3480" s="4">
        <v>1.4416597</v>
      </c>
      <c r="D3480" s="4">
        <v>-30.801009000000001</v>
      </c>
      <c r="E3480" s="4">
        <f>(((((((((-30.0907359/(10/9))+-10.5)+-0.4)*0.98)*1.11)*0.85)-6.5)+3.2)+-0.3)+0.3</f>
        <v>-38.418984421695292</v>
      </c>
      <c r="F3480" s="4">
        <f>((-1.315394*(1.3/1.5))*0.6)-0.3</f>
        <v>-0.98400488000000008</v>
      </c>
    </row>
    <row r="3481" spans="1:6" x14ac:dyDescent="0.4">
      <c r="A3481" s="4">
        <v>3044.1640750000001</v>
      </c>
      <c r="B3481" s="4">
        <v>1.4176891</v>
      </c>
      <c r="C3481" s="4">
        <v>1.4416580000000001</v>
      </c>
      <c r="D3481" s="4">
        <v>-30.807694999999999</v>
      </c>
      <c r="E3481" s="4">
        <f>(((((((((-30.1153932/(10/9))+-10.5)+-0.4)*0.98)*1.11)*0.85)-6.5)+3.2)+-0.3)+0.3</f>
        <v>-38.439503413064401</v>
      </c>
      <c r="F3481" s="4">
        <f>((-1.3145748*(1.3/1.5))*0.6)-0.3</f>
        <v>-0.98357889600000004</v>
      </c>
    </row>
    <row r="3482" spans="1:6" x14ac:dyDescent="0.4">
      <c r="A3482" s="4">
        <v>3045.0390000000002</v>
      </c>
      <c r="B3482" s="4">
        <v>1.4183751</v>
      </c>
      <c r="C3482" s="4">
        <v>1.4419107</v>
      </c>
      <c r="D3482" s="4">
        <v>-30.813876</v>
      </c>
      <c r="E3482" s="4">
        <f>(((((((((-30.0855888/(10/9))+-10.5)+-0.4)*0.98)*1.11)*0.85)-6.5)+3.2)+-0.3)+0.3</f>
        <v>-38.414701174929597</v>
      </c>
      <c r="F3482" s="4">
        <f>((-1.3138671*(1.3/1.5))*0.6)-0.3</f>
        <v>-0.983210892</v>
      </c>
    </row>
    <row r="3483" spans="1:6" x14ac:dyDescent="0.4">
      <c r="A3483" s="4">
        <v>3045.9139249999998</v>
      </c>
      <c r="B3483" s="4">
        <v>1.4184561</v>
      </c>
      <c r="C3483" s="4">
        <v>1.4416192999999999</v>
      </c>
      <c r="D3483" s="4">
        <v>-30.820149999999998</v>
      </c>
      <c r="E3483" s="4">
        <f>(((((((((-30.0783726/(10/9))+-10.5)+-0.4)*0.98)*1.11)*0.85)-6.5)+3.2)+-0.3)+0.3</f>
        <v>-38.408696091424197</v>
      </c>
      <c r="F3483" s="4">
        <f>((-1.3133361*(1.3/1.5))*0.6)-0.3</f>
        <v>-0.9829347719999999</v>
      </c>
    </row>
    <row r="3484" spans="1:6" x14ac:dyDescent="0.4">
      <c r="A3484" s="4">
        <v>3046.7888499999999</v>
      </c>
      <c r="B3484" s="4">
        <v>1.4180911</v>
      </c>
      <c r="C3484" s="4">
        <v>1.4417310000000001</v>
      </c>
      <c r="D3484" s="4">
        <v>-30.826363999999998</v>
      </c>
      <c r="E3484" s="4">
        <f>(((((((((-30.1046265/(10/9))+-10.5)+-0.4)*0.98)*1.11)*0.85)-6.5)+3.2)+-0.3)+0.3</f>
        <v>-38.430543720625501</v>
      </c>
      <c r="F3484" s="4">
        <f>((-1.3130648*(1.3/1.5))*0.6)-0.3</f>
        <v>-0.98279369600000011</v>
      </c>
    </row>
    <row r="3485" spans="1:6" x14ac:dyDescent="0.4">
      <c r="A3485" s="4">
        <v>3047.663775</v>
      </c>
      <c r="B3485" s="4">
        <v>1.4182220999999999</v>
      </c>
      <c r="C3485" s="4">
        <v>1.4416123999999999</v>
      </c>
      <c r="D3485" s="4">
        <v>-30.832646999999998</v>
      </c>
      <c r="E3485" s="4">
        <f>(((((((((-30.0970188/(10/9))+-10.5)+-0.4)*0.98)*1.11)*0.85)-6.5)+3.2)+-0.3)+0.3</f>
        <v>-38.424212843739596</v>
      </c>
      <c r="F3485" s="4">
        <f>((-1.3130974*(1.3/1.5))*0.6)-0.3</f>
        <v>-0.98281064800000006</v>
      </c>
    </row>
    <row r="3486" spans="1:6" x14ac:dyDescent="0.4">
      <c r="A3486" s="4">
        <v>3048.5387000000001</v>
      </c>
      <c r="B3486" s="4">
        <v>1.4184637</v>
      </c>
      <c r="C3486" s="4">
        <v>1.4411432</v>
      </c>
      <c r="D3486" s="4">
        <v>-30.838296</v>
      </c>
      <c r="E3486" s="4">
        <f>(((((((((-30.1012209/(10/9))+-10.5)+-0.4)*0.98)*1.11)*0.85)-6.5)+3.2)+-0.3)+0.3</f>
        <v>-38.4277096926903</v>
      </c>
      <c r="F3486" s="4">
        <f>((-1.3133274*(1.3/1.5))*0.6)-0.3</f>
        <v>-0.98293024799999995</v>
      </c>
    </row>
    <row r="3487" spans="1:6" x14ac:dyDescent="0.4">
      <c r="A3487" s="4">
        <v>3049.4136250000001</v>
      </c>
      <c r="B3487" s="4">
        <v>1.4183725</v>
      </c>
      <c r="C3487" s="4">
        <v>1.4415001000000001</v>
      </c>
      <c r="D3487" s="4">
        <v>-30.843910999999999</v>
      </c>
      <c r="E3487" s="4">
        <f>(((((((((-30.0624462/(10/9))+-10.5)+-0.4)*0.98)*1.11)*0.85)-6.5)+3.2)+-0.3)+0.3</f>
        <v>-38.395442666915393</v>
      </c>
      <c r="F3487" s="4">
        <f>((-1.3137839*(1.3/1.5))*0.6)-0.3</f>
        <v>-0.98316762800000013</v>
      </c>
    </row>
    <row r="3488" spans="1:6" x14ac:dyDescent="0.4">
      <c r="A3488" s="4">
        <v>3050.2885499999998</v>
      </c>
      <c r="B3488" s="4">
        <v>1.4186145999999999</v>
      </c>
      <c r="C3488" s="4">
        <v>1.4414927</v>
      </c>
      <c r="D3488" s="4">
        <v>-30.849295999999999</v>
      </c>
      <c r="E3488" s="4">
        <f>(((((((((-30.0891051/(10/9))+-10.5)+-0.4)*0.98)*1.11)*0.85)-6.5)+3.2)+-0.3)+0.3</f>
        <v>-38.417627323751702</v>
      </c>
      <c r="F3488" s="4">
        <f>((-1.3144617*(1.3/1.5))*0.6)-0.3</f>
        <v>-0.98352008400000002</v>
      </c>
    </row>
    <row r="3489" spans="1:6" x14ac:dyDescent="0.4">
      <c r="A3489" s="4">
        <v>3051.1634750000003</v>
      </c>
      <c r="B3489" s="4">
        <v>1.4189571999999999</v>
      </c>
      <c r="C3489" s="4">
        <v>1.4417317999999999</v>
      </c>
      <c r="D3489" s="4">
        <v>-30.854044999999999</v>
      </c>
      <c r="E3489" s="4">
        <f>(((((((((-30.0704553/(10/9))+-10.5)+-0.4)*0.98)*1.11)*0.85)-6.5)+3.2)+-0.3)+0.3</f>
        <v>-38.402107575635092</v>
      </c>
      <c r="F3489" s="4">
        <f>((-1.3154224*(1.3/1.5))*0.6)-0.3</f>
        <v>-0.98401964800000008</v>
      </c>
    </row>
    <row r="3490" spans="1:6" x14ac:dyDescent="0.4">
      <c r="A3490" s="4">
        <v>3052.0383999999999</v>
      </c>
      <c r="B3490" s="4">
        <v>1.4185956</v>
      </c>
      <c r="C3490" s="4">
        <v>1.4419633999999999</v>
      </c>
      <c r="D3490" s="4">
        <v>-30.858757999999998</v>
      </c>
      <c r="E3490" s="4">
        <f>(((((((((-30.0688938/(10/9))+-10.5)+-0.4)*0.98)*1.11)*0.85)-6.5)+3.2)+-0.3)+0.3</f>
        <v>-38.400808146864598</v>
      </c>
      <c r="F3490" s="4">
        <f>((-1.316694*(1.3/1.5))*0.6)-0.3</f>
        <v>-0.98468087999999998</v>
      </c>
    </row>
    <row r="3491" spans="1:6" x14ac:dyDescent="0.4">
      <c r="A3491" s="4">
        <v>3052.913325</v>
      </c>
      <c r="B3491" s="4">
        <v>1.4186399999999999</v>
      </c>
      <c r="C3491" s="4">
        <v>1.4418838</v>
      </c>
      <c r="D3491" s="4">
        <v>-30.863182999999999</v>
      </c>
      <c r="E3491" s="4">
        <f>(((((((((-30.0619755/(10/9))+-10.5)+-0.4)*0.98)*1.11)*0.85)-6.5)+3.2)+-0.3)+0.3</f>
        <v>-38.395050965908496</v>
      </c>
      <c r="F3491" s="4">
        <f>((-1.3182*(1.3/1.5))*0.6)-0.3</f>
        <v>-0.98546400000000012</v>
      </c>
    </row>
    <row r="3492" spans="1:6" x14ac:dyDescent="0.4">
      <c r="A3492" s="4">
        <v>3053.7882500000001</v>
      </c>
      <c r="B3492" s="4">
        <v>1.4188277</v>
      </c>
      <c r="C3492" s="4">
        <v>1.4420774999999999</v>
      </c>
      <c r="D3492" s="4">
        <v>-30.867469</v>
      </c>
      <c r="E3492" s="4">
        <f>(((((((((-30.0703797/(10/9))+-10.5)+-0.4)*0.98)*1.11)*0.85)-6.5)+3.2)+-0.3)+0.3</f>
        <v>-38.402044663809896</v>
      </c>
      <c r="F3492" s="4">
        <f>((-1.3199033*(1.3/1.5))*0.6)-0.3</f>
        <v>-0.98634971599999988</v>
      </c>
    </row>
    <row r="3493" spans="1:6" x14ac:dyDescent="0.4">
      <c r="A3493" s="4">
        <v>3054.6631749999997</v>
      </c>
      <c r="B3493" s="4">
        <v>1.4186392999999999</v>
      </c>
      <c r="C3493" s="4">
        <v>1.4428293000000001</v>
      </c>
      <c r="D3493" s="4">
        <v>-30.871420999999998</v>
      </c>
      <c r="E3493" s="4">
        <f>(((((((((-30.0750147/(10/9))+-10.5)+-0.4)*0.98)*1.11)*0.85)-6.5)+3.2)+-0.3)+0.3</f>
        <v>-38.405901757854899</v>
      </c>
      <c r="F3493" s="4">
        <f>((-1.3218318*(1.3/1.5))*0.6)-0.3</f>
        <v>-0.98735253599999995</v>
      </c>
    </row>
    <row r="3494" spans="1:6" x14ac:dyDescent="0.4">
      <c r="A3494" s="4">
        <v>3055.5381000000002</v>
      </c>
      <c r="B3494" s="4">
        <v>1.4188799999999999</v>
      </c>
      <c r="C3494" s="4">
        <v>1.4432616</v>
      </c>
      <c r="D3494" s="4">
        <v>-30.874862</v>
      </c>
      <c r="E3494" s="4">
        <f>(((((((((-30.0615633/(10/9))+-10.5)+-0.4)*0.98)*1.11)*0.85)-6.5)+3.2)+-0.3)+0.3</f>
        <v>-38.394707946671097</v>
      </c>
      <c r="F3494" s="4">
        <f>((-1.3240248*(1.3/1.5))*0.6)-0.3</f>
        <v>-0.9884928959999999</v>
      </c>
    </row>
    <row r="3495" spans="1:6" x14ac:dyDescent="0.4">
      <c r="A3495" s="4">
        <v>3056.4130249999998</v>
      </c>
      <c r="B3495" s="4">
        <v>1.4187067</v>
      </c>
      <c r="C3495" s="4">
        <v>1.4436415</v>
      </c>
      <c r="D3495" s="4">
        <v>-30.878242</v>
      </c>
      <c r="E3495" s="4">
        <f>(((((((((-30.0980205/(10/9))+-10.5)+-0.4)*0.98)*1.11)*0.85)-6.5)+3.2)+-0.3)+0.3</f>
        <v>-38.425046425423496</v>
      </c>
      <c r="F3495" s="4">
        <f>((-1.3264804*(1.3/1.5))*0.6)-0.3</f>
        <v>-0.98976980799999992</v>
      </c>
    </row>
    <row r="3496" spans="1:6" x14ac:dyDescent="0.4">
      <c r="A3496" s="4">
        <v>3057.2879500000004</v>
      </c>
      <c r="B3496" s="4">
        <v>1.4187179000000001</v>
      </c>
      <c r="C3496" s="4">
        <v>1.4435908</v>
      </c>
      <c r="D3496" s="4">
        <v>-30.880949999999999</v>
      </c>
      <c r="E3496" s="4">
        <f>(((((((((-30.0569013/(10/9))+-10.5)+-0.4)*0.98)*1.11)*0.85)-6.5)+3.2)+-0.3)+0.3</f>
        <v>-38.390828384117107</v>
      </c>
      <c r="F3496" s="4">
        <f>((-1.3290977*(1.3/1.5))*0.6)-0.3</f>
        <v>-0.99113080399999998</v>
      </c>
    </row>
    <row r="3497" spans="1:6" x14ac:dyDescent="0.4">
      <c r="A3497" s="4">
        <v>3058.162875</v>
      </c>
      <c r="B3497" s="4">
        <v>1.4188027000000001</v>
      </c>
      <c r="C3497" s="4">
        <v>1.4434454000000001</v>
      </c>
      <c r="D3497" s="4">
        <v>-30.882992999999999</v>
      </c>
      <c r="E3497" s="4">
        <f>(((((((((-30.0626244/(10/9))+-10.5)+-0.4)*0.98)*1.11)*0.85)-6.5)+3.2)+-0.3)+0.3</f>
        <v>-38.395590959074802</v>
      </c>
      <c r="F3497" s="4">
        <f>((-1.3319225*(1.3/1.5))*0.6)-0.3</f>
        <v>-0.99259969999999997</v>
      </c>
    </row>
    <row r="3498" spans="1:6" x14ac:dyDescent="0.4">
      <c r="A3498" s="4">
        <v>3059.0377999999996</v>
      </c>
      <c r="B3498" s="4">
        <v>1.4189020000000001</v>
      </c>
      <c r="C3498" s="4">
        <v>1.4437008</v>
      </c>
      <c r="D3498" s="4">
        <v>-30.884623999999999</v>
      </c>
      <c r="E3498" s="4">
        <f>(((((((((-30.0801816/(10/9))+-10.5)+-0.4)*0.98)*1.11)*0.85)-6.5)+3.2)+-0.3)+0.3</f>
        <v>-38.410201481527196</v>
      </c>
      <c r="F3498" s="4">
        <f>((-1.3349831*(1.3/1.5))*0.6)-0.3</f>
        <v>-0.99419121200000005</v>
      </c>
    </row>
    <row r="3499" spans="1:6" x14ac:dyDescent="0.4">
      <c r="A3499" s="4">
        <v>3059.9127250000001</v>
      </c>
      <c r="B3499" s="4">
        <v>1.4192159</v>
      </c>
      <c r="C3499" s="4">
        <v>1.4435431999999999</v>
      </c>
      <c r="D3499" s="4">
        <v>-30.885904</v>
      </c>
      <c r="E3499" s="4">
        <f>(((((((((-30.0727422/(10/9))+-10.5)+-0.4)*0.98)*1.11)*0.85)-6.5)+3.2)+-0.3)+0.3</f>
        <v>-38.404010658347389</v>
      </c>
      <c r="F3499" s="4">
        <f>((-1.3383105*(1.3/1.5))*0.6)-0.3</f>
        <v>-0.99592145999999993</v>
      </c>
    </row>
    <row r="3500" spans="1:6" x14ac:dyDescent="0.4">
      <c r="A3500" s="4">
        <v>3060.7876499999998</v>
      </c>
      <c r="B3500" s="4">
        <v>1.4195373</v>
      </c>
      <c r="C3500" s="4">
        <v>1.443621</v>
      </c>
      <c r="D3500" s="4">
        <v>-30.886966000000001</v>
      </c>
      <c r="E3500" s="4">
        <f>(((((((((-30.0704517/(10/9))+-10.5)+-0.4)*0.98)*1.11)*0.85)-6.5)+3.2)+-0.3)+0.3</f>
        <v>-38.402104579833896</v>
      </c>
      <c r="F3500" s="4">
        <f>((-1.3417789*(1.3/1.5))*0.6)-0.3</f>
        <v>-0.99772502799999985</v>
      </c>
    </row>
    <row r="3501" spans="1:6" x14ac:dyDescent="0.4">
      <c r="A3501" s="4">
        <v>3061.6625750000003</v>
      </c>
      <c r="B3501" s="4">
        <v>1.4192635</v>
      </c>
      <c r="C3501" s="4">
        <v>1.4439261000000001</v>
      </c>
      <c r="D3501" s="4">
        <v>-30.887325000000001</v>
      </c>
      <c r="E3501" s="4">
        <f>(((((((((-30.0736584/(10/9))+-10.5)+-0.4)*0.98)*1.11)*0.85)-6.5)+3.2)+-0.3)+0.3</f>
        <v>-38.404773089752787</v>
      </c>
      <c r="F3501" s="4">
        <f>((-1.3453853*(1.3/1.5))*0.6)-0.3</f>
        <v>-0.99960035599999997</v>
      </c>
    </row>
    <row r="3502" spans="1:6" x14ac:dyDescent="0.4">
      <c r="A3502" s="4">
        <v>3062.5374999999999</v>
      </c>
      <c r="B3502" s="4">
        <v>1.4193244</v>
      </c>
      <c r="C3502" s="4">
        <v>1.443665</v>
      </c>
      <c r="D3502" s="4">
        <v>-30.887636999999998</v>
      </c>
      <c r="E3502" s="4">
        <f>(((((((((-30.0768966/(10/9))+-10.5)+-0.4)*0.98)*1.11)*0.85)-6.5)+3.2)+-0.3)+0.3</f>
        <v>-38.407467812932197</v>
      </c>
      <c r="F3502" s="4">
        <f>((-1.3492171*(1.3/1.5))*0.6)-0.3</f>
        <v>-1.0015928919999999</v>
      </c>
    </row>
    <row r="3503" spans="1:6" x14ac:dyDescent="0.4">
      <c r="A3503" s="4">
        <v>3063.412425</v>
      </c>
      <c r="B3503" s="4">
        <v>1.41926</v>
      </c>
      <c r="C3503" s="4">
        <v>1.4438302999999999</v>
      </c>
      <c r="D3503" s="4">
        <v>-30.887498000000001</v>
      </c>
      <c r="E3503" s="4">
        <f>(((((((((-30.0644064/(10/9))+-10.5)+-0.4)*0.98)*1.11)*0.85)-6.5)+3.2)+-0.3)+0.3</f>
        <v>-38.397073880668799</v>
      </c>
      <c r="F3503" s="4">
        <f>((-1.3532612*(1.3/1.5))*0.6)-0.3</f>
        <v>-1.003695824</v>
      </c>
    </row>
    <row r="3504" spans="1:6" x14ac:dyDescent="0.4">
      <c r="A3504" s="4">
        <v>3064.2873500000001</v>
      </c>
      <c r="B3504" s="4">
        <v>1.419295</v>
      </c>
      <c r="C3504" s="4">
        <v>1.4437392</v>
      </c>
      <c r="D3504" s="4">
        <v>-30.887031</v>
      </c>
      <c r="E3504" s="4">
        <f>(((((((((-30.0789801/(10/9))+-10.5)+-0.4)*0.98)*1.11)*0.85)-6.5)+3.2)+-0.3)+0.3</f>
        <v>-38.409201632876695</v>
      </c>
      <c r="F3504" s="4">
        <f>((-1.3574525*(1.3/1.5))*0.6)-0.3</f>
        <v>-1.0058752999999998</v>
      </c>
    </row>
    <row r="3505" spans="1:6" x14ac:dyDescent="0.4">
      <c r="A3505" s="4">
        <v>3065.1622749999997</v>
      </c>
      <c r="B3505" s="4">
        <v>1.4193658</v>
      </c>
      <c r="C3505" s="4">
        <v>1.4433153999999999</v>
      </c>
      <c r="D3505" s="4">
        <v>-30.885959</v>
      </c>
      <c r="E3505" s="4">
        <f>(((((((((-30.0702942/(10/9))+-10.5)+-0.4)*0.98)*1.11)*0.85)-6.5)+3.2)+-0.3)+0.3</f>
        <v>-38.401973513531395</v>
      </c>
      <c r="F3505" s="4">
        <f>((-1.3616974*(1.3/1.5))*0.6)-0.3</f>
        <v>-1.008082648</v>
      </c>
    </row>
    <row r="3506" spans="1:6" x14ac:dyDescent="0.4">
      <c r="A3506" s="4">
        <v>3066.0372000000002</v>
      </c>
      <c r="B3506" s="4">
        <v>1.4196234000000001</v>
      </c>
      <c r="C3506" s="4">
        <v>1.4438489999999999</v>
      </c>
      <c r="D3506" s="4">
        <v>-30.884167999999999</v>
      </c>
      <c r="E3506" s="4">
        <f>(((((((((-30.0703626/(10/9))+-10.5)+-0.4)*0.98)*1.11)*0.85)-6.5)+3.2)+-0.3)+0.3</f>
        <v>-38.402030433754199</v>
      </c>
      <c r="F3506" s="4">
        <f>((-1.3660936*(1.3/1.5))*0.6)-0.3</f>
        <v>-1.0103686719999998</v>
      </c>
    </row>
    <row r="3507" spans="1:6" x14ac:dyDescent="0.4">
      <c r="A3507" s="4">
        <v>3066.9121249999998</v>
      </c>
      <c r="B3507" s="4">
        <v>1.4195024000000001</v>
      </c>
      <c r="C3507" s="4">
        <v>1.4436197</v>
      </c>
      <c r="D3507" s="4">
        <v>-30.881992</v>
      </c>
      <c r="E3507" s="4">
        <f>(((((((((-30.0561597/(10/9))+-10.5)+-0.4)*0.98)*1.11)*0.85)-6.5)+3.2)+-0.3)+0.3</f>
        <v>-38.3902112490699</v>
      </c>
      <c r="F3507" s="4">
        <f>((-1.3706949*(1.3/1.5))*0.6)-0.3</f>
        <v>-1.012761348</v>
      </c>
    </row>
    <row r="3508" spans="1:6" x14ac:dyDescent="0.4">
      <c r="A3508" s="4">
        <v>3067.7870499999999</v>
      </c>
      <c r="B3508" s="4">
        <v>1.4192449</v>
      </c>
      <c r="C3508" s="4">
        <v>1.4435861999999999</v>
      </c>
      <c r="D3508" s="4">
        <v>-30.879065999999998</v>
      </c>
      <c r="E3508" s="4">
        <f>(((((((((-30.0635928/(10/9))+-10.5)+-0.4)*0.98)*1.11)*0.85)-6.5)+3.2)+-0.3)+0.3</f>
        <v>-38.396396829597592</v>
      </c>
      <c r="F3508" s="4">
        <f>((-1.3754288*(1.3/1.5))*0.6)-0.3</f>
        <v>-1.015222976</v>
      </c>
    </row>
    <row r="3509" spans="1:6" x14ac:dyDescent="0.4">
      <c r="A3509" s="4">
        <v>3068.661975</v>
      </c>
      <c r="B3509" s="4">
        <v>1.4193225</v>
      </c>
      <c r="C3509" s="4">
        <v>1.4432963000000001</v>
      </c>
      <c r="D3509" s="4">
        <v>-30.876318999999999</v>
      </c>
      <c r="E3509" s="4">
        <f>(((((((((-30.0895686/(10/9))+-10.5)+-0.4)*0.98)*1.11)*0.85)-6.5)+3.2)+-0.3)+0.3</f>
        <v>-38.418013033156186</v>
      </c>
      <c r="F3509" s="4">
        <f>((-1.3802875*(1.3/1.5))*0.6)-0.3</f>
        <v>-1.0177494999999999</v>
      </c>
    </row>
    <row r="3510" spans="1:6" x14ac:dyDescent="0.4">
      <c r="A3510" s="4">
        <v>3069.5369000000001</v>
      </c>
      <c r="B3510" s="4">
        <v>1.4195526000000001</v>
      </c>
      <c r="C3510" s="4">
        <v>1.4434475</v>
      </c>
      <c r="D3510" s="4">
        <v>-30.872990999999999</v>
      </c>
      <c r="E3510" s="4">
        <f>(((((((((-30.0993534/(10/9))+-10.5)+-0.4)*0.98)*1.11)*0.85)-6.5)+3.2)+-0.3)+0.3</f>
        <v>-38.426155620817795</v>
      </c>
      <c r="F3510" s="4">
        <f>((-1.3851899*(1.3/1.5))*0.6)-0.3</f>
        <v>-1.0202987480000001</v>
      </c>
    </row>
    <row r="3511" spans="1:6" x14ac:dyDescent="0.4">
      <c r="A3511" s="4">
        <v>3070.4118250000001</v>
      </c>
      <c r="B3511" s="4">
        <v>1.4194500000000001</v>
      </c>
      <c r="C3511" s="4">
        <v>1.4432365</v>
      </c>
      <c r="D3511" s="4">
        <v>-30.869167999999998</v>
      </c>
      <c r="E3511" s="4">
        <f>(((((((((-30.0816684/(10/9))+-10.5)+-0.4)*0.98)*1.11)*0.85)-6.5)+3.2)+-0.3)+0.3</f>
        <v>-38.411438747422793</v>
      </c>
      <c r="F3511" s="4">
        <f>((-1.3901243*(1.3/1.5))*0.6)-0.3</f>
        <v>-1.022864636</v>
      </c>
    </row>
    <row r="3512" spans="1:6" x14ac:dyDescent="0.4">
      <c r="A3512" s="4">
        <v>3071.2867500000002</v>
      </c>
      <c r="B3512" s="4">
        <v>1.41957</v>
      </c>
      <c r="C3512" s="4">
        <v>1.4432539</v>
      </c>
      <c r="D3512" s="4">
        <v>-30.864615999999998</v>
      </c>
      <c r="E3512" s="4">
        <f>(((((((((-30.0935439/(10/9))+-10.5)+-0.4)*0.98)*1.11)*0.85)-6.5)+3.2)+-0.3)+0.3</f>
        <v>-38.4213211466313</v>
      </c>
      <c r="F3512" s="4">
        <f>((-1.3951672*(1.3/1.5))*0.6)-0.3</f>
        <v>-1.0254869439999998</v>
      </c>
    </row>
    <row r="3513" spans="1:6" x14ac:dyDescent="0.4">
      <c r="A3513" s="4">
        <v>3072.1616749999998</v>
      </c>
      <c r="B3513" s="4">
        <v>1.4196517</v>
      </c>
      <c r="C3513" s="4">
        <v>1.4433533000000001</v>
      </c>
      <c r="D3513" s="4">
        <v>-30.859745999999998</v>
      </c>
      <c r="E3513" s="4">
        <f>(((((((((-30.0984291/(10/9))+-10.5)+-0.4)*0.98)*1.11)*0.85)-6.5)+3.2)+-0.3)+0.3</f>
        <v>-38.425386448859697</v>
      </c>
      <c r="F3513" s="4">
        <f>((-1.4002272*(1.3/1.5))*0.6)-0.3</f>
        <v>-1.028118144</v>
      </c>
    </row>
    <row r="3514" spans="1:6" x14ac:dyDescent="0.4">
      <c r="A3514" s="4">
        <v>3073.0365999999999</v>
      </c>
      <c r="B3514" s="4">
        <v>1.4195156</v>
      </c>
      <c r="C3514" s="4">
        <v>1.4430194000000001</v>
      </c>
      <c r="D3514" s="4">
        <v>-30.854488</v>
      </c>
      <c r="E3514" s="4">
        <f>(((((((((-30.0822552/(10/9))+-10.5)+-0.4)*0.98)*1.11)*0.85)-6.5)+3.2)+-0.3)+0.3</f>
        <v>-38.411927063018396</v>
      </c>
      <c r="F3514" s="4">
        <f>((-1.4053313*(1.3/1.5))*0.6)-0.3</f>
        <v>-1.030772276</v>
      </c>
    </row>
    <row r="3515" spans="1:6" x14ac:dyDescent="0.4">
      <c r="A3515" s="4">
        <v>3073.911525</v>
      </c>
      <c r="B3515" s="4">
        <v>1.4193876000000001</v>
      </c>
      <c r="C3515" s="4">
        <v>1.4431421</v>
      </c>
      <c r="D3515" s="4">
        <v>-30.849140999999999</v>
      </c>
      <c r="E3515" s="4">
        <f>(((((((((-30.1264479/(10/9))+-10.5)+-0.4)*0.98)*1.11)*0.85)-6.5)+3.2)+-0.3)+0.3</f>
        <v>-38.448702769599301</v>
      </c>
      <c r="F3515" s="4">
        <f>((-1.4104269*(1.3/1.5))*0.6)-0.3</f>
        <v>-1.033421988</v>
      </c>
    </row>
    <row r="3516" spans="1:6" x14ac:dyDescent="0.4">
      <c r="A3516" s="4">
        <v>3074.7864500000001</v>
      </c>
      <c r="B3516" s="4">
        <v>1.4192524</v>
      </c>
      <c r="C3516" s="4">
        <v>1.4430368</v>
      </c>
      <c r="D3516" s="4">
        <v>-30.843447999999999</v>
      </c>
      <c r="E3516" s="4">
        <f>(((((((((-30.0830211/(10/9))+-10.5)+-0.4)*0.98)*1.11)*0.85)-6.5)+3.2)+-0.3)+0.3</f>
        <v>-38.412564419723694</v>
      </c>
      <c r="F3516" s="4">
        <f>((-1.4155434*(1.3/1.5))*0.6)-0.3</f>
        <v>-1.0360825680000001</v>
      </c>
    </row>
    <row r="3517" spans="1:6" x14ac:dyDescent="0.4">
      <c r="A3517" s="4">
        <v>3075.6613750000001</v>
      </c>
      <c r="B3517" s="4">
        <v>1.4194967000000001</v>
      </c>
      <c r="C3517" s="4">
        <v>1.4432148</v>
      </c>
      <c r="D3517" s="4">
        <v>-30.837152</v>
      </c>
      <c r="E3517" s="4">
        <f>(((((((((-30.118905/(10/9))+-10.5)+-0.4)*0.98)*1.11)*0.85)-6.5)+3.2)+-0.3)+0.3</f>
        <v>-38.442425817135003</v>
      </c>
      <c r="F3517" s="4">
        <f>((-1.4206415*(1.3/1.5))*0.6)-0.3</f>
        <v>-1.0387335799999999</v>
      </c>
    </row>
    <row r="3518" spans="1:6" x14ac:dyDescent="0.4">
      <c r="A3518" s="4">
        <v>3076.5362999999998</v>
      </c>
      <c r="B3518" s="4">
        <v>1.4195758000000001</v>
      </c>
      <c r="C3518" s="4">
        <v>1.4432862</v>
      </c>
      <c r="D3518" s="4">
        <v>-30.830757999999999</v>
      </c>
      <c r="E3518" s="4">
        <f>(((((((((-30.1287447/(10/9))+-10.5)+-0.4)*0.98)*1.11)*0.85)-6.5)+3.2)+-0.3)+0.3</f>
        <v>-38.450614090764894</v>
      </c>
      <c r="F3518" s="4">
        <f>((-1.4257511*(1.3/1.5))*0.6)-0.3</f>
        <v>-1.0413905720000001</v>
      </c>
    </row>
    <row r="3519" spans="1:6" x14ac:dyDescent="0.4">
      <c r="A3519" s="4">
        <v>3077.4112250000003</v>
      </c>
      <c r="B3519" s="4">
        <v>1.419459</v>
      </c>
      <c r="C3519" s="4">
        <v>1.4429793</v>
      </c>
      <c r="D3519" s="4">
        <v>-30.823931999999999</v>
      </c>
      <c r="E3519" s="4">
        <f>(((((((((-30.1283298/(10/9))+-10.5)+-0.4)*0.98)*1.11)*0.85)-6.5)+3.2)+-0.3)+0.3</f>
        <v>-38.450268824676598</v>
      </c>
      <c r="F3519" s="4">
        <f>((-1.4307956*(1.3/1.5))*0.6)-0.3</f>
        <v>-1.0440137119999999</v>
      </c>
    </row>
    <row r="3520" spans="1:6" x14ac:dyDescent="0.4">
      <c r="A3520" s="4">
        <v>3078.2861499999999</v>
      </c>
      <c r="B3520" s="4">
        <v>1.4197549</v>
      </c>
      <c r="C3520" s="4">
        <v>1.4433301999999999</v>
      </c>
      <c r="D3520" s="4">
        <v>-30.816300999999999</v>
      </c>
      <c r="E3520" s="4">
        <f>(((((((((-30.1207725/(10/9))+-10.5)+-0.4)*0.98)*1.11)*0.85)-6.5)+3.2)+-0.3)+0.3</f>
        <v>-38.443979889007494</v>
      </c>
      <c r="F3520" s="4">
        <f>((-1.4356749*(1.3/1.5))*0.6)-0.3</f>
        <v>-1.0465509479999999</v>
      </c>
    </row>
    <row r="3521" spans="1:6" x14ac:dyDescent="0.4">
      <c r="A3521" s="4">
        <v>3079.161075</v>
      </c>
      <c r="B3521" s="4">
        <v>1.4196814</v>
      </c>
      <c r="C3521" s="4">
        <v>1.4431677000000001</v>
      </c>
      <c r="D3521" s="4">
        <v>-30.809128999999999</v>
      </c>
      <c r="E3521" s="4">
        <f>(((((((((-30.1110912/(10/9))+-10.5)+-0.4)*0.98)*1.11)*0.85)-6.5)+3.2)+-0.3)+0.3</f>
        <v>-38.435923430630396</v>
      </c>
      <c r="F3521" s="4">
        <f>((-1.4405404*(1.3/1.5))*0.6)-0.3</f>
        <v>-1.0490810079999999</v>
      </c>
    </row>
    <row r="3522" spans="1:6" x14ac:dyDescent="0.4">
      <c r="A3522" s="4">
        <v>3080.0360000000001</v>
      </c>
      <c r="B3522" s="4">
        <v>1.4197563</v>
      </c>
      <c r="C3522" s="4">
        <v>1.4434309000000001</v>
      </c>
      <c r="D3522" s="4">
        <v>-30.801521999999999</v>
      </c>
      <c r="E3522" s="4">
        <f>(((((((((-30.1404312/(10/9))+-10.5)+-0.4)*0.98)*1.11)*0.85)-6.5)+3.2)+-0.3)+0.3</f>
        <v>-38.460339210410389</v>
      </c>
      <c r="F3522" s="4">
        <f>((-1.445374*(1.3/1.5))*0.6)-0.3</f>
        <v>-1.0515944799999999</v>
      </c>
    </row>
    <row r="3523" spans="1:6" x14ac:dyDescent="0.4">
      <c r="A3523" s="4">
        <v>3080.9109249999997</v>
      </c>
      <c r="B3523" s="4">
        <v>1.4199124999999999</v>
      </c>
      <c r="C3523" s="4">
        <v>1.4434316</v>
      </c>
      <c r="D3523" s="4">
        <v>-30.792767999999999</v>
      </c>
      <c r="E3523" s="4">
        <f>(((((((((-30.111534/(10/9))+-10.5)+-0.4)*0.98)*1.11)*0.85)-6.5)+3.2)+-0.3)+0.3</f>
        <v>-38.436291914177993</v>
      </c>
      <c r="F3523" s="4">
        <f>((-1.4501252*(1.3/1.5))*0.6)-0.3</f>
        <v>-1.054065104</v>
      </c>
    </row>
    <row r="3524" spans="1:6" x14ac:dyDescent="0.4">
      <c r="A3524" s="4">
        <v>3081.7858500000002</v>
      </c>
      <c r="B3524" s="4">
        <v>1.4198157</v>
      </c>
      <c r="C3524" s="4">
        <v>1.4436445</v>
      </c>
      <c r="D3524" s="4">
        <v>-30.784594999999999</v>
      </c>
      <c r="E3524" s="4">
        <f>(((((((((-30.1514868/(10/9))+-10.5)+-0.4)*0.98)*1.11)*0.85)-6.5)+3.2)+-0.3)+0.3</f>
        <v>-38.469539315895595</v>
      </c>
      <c r="F3524" s="4">
        <f>((-1.4547744*(1.3/1.5))*0.6)-0.3</f>
        <v>-1.056482688</v>
      </c>
    </row>
    <row r="3525" spans="1:6" x14ac:dyDescent="0.4">
      <c r="A3525" s="4">
        <v>3082.6607749999998</v>
      </c>
      <c r="B3525" s="4">
        <v>1.4195586</v>
      </c>
      <c r="C3525" s="4">
        <v>1.4433935</v>
      </c>
      <c r="D3525" s="4">
        <v>-30.776087999999998</v>
      </c>
      <c r="E3525" s="4">
        <f>(((((((((-30.1708053/(10/9))+-10.5)+-0.4)*0.98)*1.11)*0.85)-6.5)+3.2)+-0.3)+0.3</f>
        <v>-38.485615534085092</v>
      </c>
      <c r="F3525" s="4">
        <f>((-1.4592497*(1.3/1.5))*0.6)-0.3</f>
        <v>-1.058809844</v>
      </c>
    </row>
    <row r="3526" spans="1:6" x14ac:dyDescent="0.4">
      <c r="A3526" s="4">
        <v>3083.5357000000004</v>
      </c>
      <c r="B3526" s="4">
        <v>1.4194888000000001</v>
      </c>
      <c r="C3526" s="4">
        <v>1.4432646</v>
      </c>
      <c r="D3526" s="4">
        <v>-30.767471999999998</v>
      </c>
      <c r="E3526" s="4">
        <f>(((((((((-30.1225689/(10/9))+-10.5)+-0.4)*0.98)*1.11)*0.85)-6.5)+3.2)+-0.3)+0.3</f>
        <v>-38.445474793806305</v>
      </c>
      <c r="F3526" s="4">
        <f>((-1.463609*(1.3/1.5))*0.6)-0.3</f>
        <v>-1.06107668</v>
      </c>
    </row>
    <row r="3527" spans="1:6" x14ac:dyDescent="0.4">
      <c r="A3527" s="4">
        <v>3084.410625</v>
      </c>
      <c r="B3527" s="4">
        <v>1.4194353</v>
      </c>
      <c r="C3527" s="4">
        <v>1.4433372</v>
      </c>
      <c r="D3527" s="4">
        <v>-30.758641000000001</v>
      </c>
      <c r="E3527" s="4">
        <f>(((((((((-30.1631634/(10/9))+-10.5)+-0.4)*0.98)*1.11)*0.85)-6.5)+3.2)+-0.3)+0.3</f>
        <v>-38.4792561970878</v>
      </c>
      <c r="F3527" s="4">
        <f>((-1.4678484*(1.3/1.5))*0.6)-0.3</f>
        <v>-1.0632811680000001</v>
      </c>
    </row>
    <row r="3528" spans="1:6" x14ac:dyDescent="0.4">
      <c r="A3528" s="4">
        <v>3085.2855499999996</v>
      </c>
      <c r="B3528" s="4">
        <v>1.4197584000000001</v>
      </c>
      <c r="C3528" s="4">
        <v>1.4433813</v>
      </c>
      <c r="D3528" s="4">
        <v>-30.749755</v>
      </c>
      <c r="E3528" s="4">
        <f>(((((((((-30.1506732/(10/9))+-10.5)+-0.4)*0.98)*1.11)*0.85)-6.5)+3.2)+-0.3)+0.3</f>
        <v>-38.468862264824395</v>
      </c>
      <c r="F3528" s="4">
        <f>((-1.4719814*(1.3/1.5))*0.6)-0.3</f>
        <v>-1.0654303279999999</v>
      </c>
    </row>
    <row r="3529" spans="1:6" x14ac:dyDescent="0.4">
      <c r="A3529" s="4">
        <v>3086.1604750000001</v>
      </c>
      <c r="B3529" s="4">
        <v>1.4196086000000001</v>
      </c>
      <c r="C3529" s="4">
        <v>1.4431426999999999</v>
      </c>
      <c r="D3529" s="4">
        <v>-30.74072</v>
      </c>
      <c r="E3529" s="4">
        <f>(((((((((-30.1645845/(10/9))+-10.5)+-0.4)*0.98)*1.11)*0.85)-6.5)+3.2)+-0.3)+0.3</f>
        <v>-38.480438789611497</v>
      </c>
      <c r="F3529" s="4">
        <f>((-1.4759265*(1.3/1.5))*0.6)-0.3</f>
        <v>-1.06748178</v>
      </c>
    </row>
    <row r="3530" spans="1:6" x14ac:dyDescent="0.4">
      <c r="A3530" s="4">
        <v>3087.0353999999998</v>
      </c>
      <c r="B3530" s="4">
        <v>1.4192796999999999</v>
      </c>
      <c r="C3530" s="4">
        <v>1.4429983</v>
      </c>
      <c r="D3530" s="4">
        <v>-30.731469000000001</v>
      </c>
      <c r="E3530" s="4">
        <f>(((((((((-30.1579821/(10/9))+-10.5)+-0.4)*0.98)*1.11)*0.85)-6.5)+3.2)+-0.3)+0.3</f>
        <v>-38.474944490210689</v>
      </c>
      <c r="F3530" s="4">
        <f>((-1.479614*(1.3/1.5))*0.6)-0.3</f>
        <v>-1.0693992799999998</v>
      </c>
    </row>
    <row r="3531" spans="1:6" x14ac:dyDescent="0.4">
      <c r="A3531" s="4">
        <v>3087.9103250000003</v>
      </c>
      <c r="B3531" s="4">
        <v>1.4197667</v>
      </c>
      <c r="C3531" s="4">
        <v>1.4435833</v>
      </c>
      <c r="D3531" s="4">
        <v>-30.721996999999998</v>
      </c>
      <c r="E3531" s="4">
        <f>(((((((((-30.1409604/(10/9))+-10.5)+-0.4)*0.98)*1.11)*0.85)-6.5)+3.2)+-0.3)+0.3</f>
        <v>-38.460779593186793</v>
      </c>
      <c r="F3531" s="4">
        <f>((-1.4830705*(1.3/1.5))*0.6)-0.3</f>
        <v>-1.07119666</v>
      </c>
    </row>
    <row r="3532" spans="1:6" x14ac:dyDescent="0.4">
      <c r="A3532" s="4">
        <v>3088.7852499999999</v>
      </c>
      <c r="B3532" s="4">
        <v>1.4197354</v>
      </c>
      <c r="C3532" s="4">
        <v>1.4435978</v>
      </c>
      <c r="D3532" s="4">
        <v>-30.712952999999999</v>
      </c>
      <c r="E3532" s="4">
        <f>(((((((((-30.1802607/(10/9))+-10.5)+-0.4)*0.98)*1.11)*0.85)-6.5)+3.2)+-0.3)+0.3</f>
        <v>-38.493484005936899</v>
      </c>
      <c r="F3532" s="4">
        <f>((-1.4863758*(1.3/1.5))*0.6)-0.3</f>
        <v>-1.0729154160000001</v>
      </c>
    </row>
    <row r="3533" spans="1:6" x14ac:dyDescent="0.4">
      <c r="A3533" s="4">
        <v>3089.660175</v>
      </c>
      <c r="B3533" s="4">
        <v>1.4198928</v>
      </c>
      <c r="C3533" s="4">
        <v>1.4436021000000001</v>
      </c>
      <c r="D3533" s="4">
        <v>-30.703800999999999</v>
      </c>
      <c r="E3533" s="4">
        <f>(((((((((-30.1521564/(10/9))+-10.5)+-0.4)*0.98)*1.11)*0.85)-6.5)+3.2)+-0.3)+0.3</f>
        <v>-38.470096534918795</v>
      </c>
      <c r="F3533" s="4">
        <f>((-1.4895037*(1.3/1.5))*0.6)-0.3</f>
        <v>-1.074541924</v>
      </c>
    </row>
    <row r="3534" spans="1:6" x14ac:dyDescent="0.4">
      <c r="A3534" s="4">
        <v>3090.5351000000001</v>
      </c>
      <c r="B3534" s="4">
        <v>1.419902</v>
      </c>
      <c r="C3534" s="4">
        <v>1.4437643</v>
      </c>
      <c r="D3534" s="4">
        <v>-30.694863999999999</v>
      </c>
      <c r="E3534" s="4">
        <f>(((((((((-30.1978422/(10/9))+-10.5)+-0.4)*0.98)*1.11)*0.85)-6.5)+3.2)+-0.3)+0.3</f>
        <v>-38.508114750047397</v>
      </c>
      <c r="F3534" s="4">
        <f>((-1.4923722*(1.3/1.5))*0.6)-0.3</f>
        <v>-1.076033544</v>
      </c>
    </row>
    <row r="3535" spans="1:6" x14ac:dyDescent="0.4">
      <c r="A3535" s="4">
        <v>3091.4100250000001</v>
      </c>
      <c r="B3535" s="4">
        <v>1.4196278</v>
      </c>
      <c r="C3535" s="4">
        <v>1.4441432000000001</v>
      </c>
      <c r="D3535" s="4">
        <v>-30.685936999999999</v>
      </c>
      <c r="E3535" s="4">
        <f>(((((((((-30.188088/(10/9))+-10.5)+-0.4)*0.98)*1.11)*0.85)-6.5)+3.2)+-0.3)+0.3</f>
        <v>-38.499997626695993</v>
      </c>
      <c r="F3535" s="4">
        <f>((-1.4950187*(1.3/1.5))*0.6)-0.3</f>
        <v>-1.0774097239999998</v>
      </c>
    </row>
    <row r="3536" spans="1:6" x14ac:dyDescent="0.4">
      <c r="A3536" s="4">
        <v>3092.2849500000002</v>
      </c>
      <c r="B3536" s="4">
        <v>1.419632</v>
      </c>
      <c r="C3536" s="4">
        <v>1.4444731</v>
      </c>
      <c r="D3536" s="4">
        <v>-30.677098000000001</v>
      </c>
      <c r="E3536" s="4">
        <f>(((((((((-30.1871169/(10/9))+-10.5)+-0.4)*0.98)*1.11)*0.85)-6.5)+3.2)+-0.3)+0.3</f>
        <v>-38.499189509322299</v>
      </c>
      <c r="F3536" s="4">
        <f>((-1.4974893*(1.3/1.5))*0.6)-0.3</f>
        <v>-1.0786944360000001</v>
      </c>
    </row>
    <row r="3537" spans="1:6" x14ac:dyDescent="0.4">
      <c r="A3537" s="4">
        <v>3093.1598749999998</v>
      </c>
      <c r="B3537" s="4">
        <v>1.4195922999999999</v>
      </c>
      <c r="C3537" s="4">
        <v>1.4449576</v>
      </c>
      <c r="D3537" s="4">
        <v>-30.668013999999999</v>
      </c>
      <c r="E3537" s="4">
        <f>(((((((((-30.2101326/(10/9))+-10.5)+-0.4)*0.98)*1.11)*0.85)-6.5)+3.2)+-0.3)+0.3</f>
        <v>-38.5183424153442</v>
      </c>
      <c r="F3537" s="4">
        <f>((-1.4997324*(1.3/1.5))*0.6)-0.3</f>
        <v>-1.079860848</v>
      </c>
    </row>
    <row r="3538" spans="1:6" x14ac:dyDescent="0.4">
      <c r="A3538" s="4">
        <v>3094.0347999999999</v>
      </c>
      <c r="B3538" s="4">
        <v>1.4192677</v>
      </c>
      <c r="C3538" s="4">
        <v>1.4453781000000001</v>
      </c>
      <c r="D3538" s="4">
        <v>-30.659489999999998</v>
      </c>
      <c r="E3538" s="4">
        <f>(((((((((-30.187872/(10/9))+-10.5)+-0.4)*0.98)*1.11)*0.85)-6.5)+3.2)+-0.3)+0.3</f>
        <v>-38.499817878623993</v>
      </c>
      <c r="F3538" s="4">
        <f>((-1.5016774*(1.3/1.5))*0.6)-0.3</f>
        <v>-1.0808722479999999</v>
      </c>
    </row>
    <row r="3539" spans="1:6" x14ac:dyDescent="0.4">
      <c r="A3539" s="4">
        <v>3094.909725</v>
      </c>
      <c r="B3539" s="4">
        <v>1.4194564999999999</v>
      </c>
      <c r="C3539" s="4">
        <v>1.4452962</v>
      </c>
      <c r="D3539" s="4">
        <v>-30.651066999999998</v>
      </c>
      <c r="E3539" s="4">
        <f>(((((((((-30.1850604/(10/9))+-10.5)+-0.4)*0.98)*1.11)*0.85)-6.5)+3.2)+-0.3)+0.3</f>
        <v>-38.497478157886803</v>
      </c>
      <c r="F3539" s="4">
        <f>((-1.5033869*(1.3/1.5))*0.6)-0.3</f>
        <v>-1.081761188</v>
      </c>
    </row>
    <row r="3540" spans="1:6" x14ac:dyDescent="0.4">
      <c r="A3540" s="4">
        <v>3095.7846500000001</v>
      </c>
      <c r="B3540" s="4">
        <v>1.4197358</v>
      </c>
      <c r="C3540" s="4">
        <v>1.4457868</v>
      </c>
      <c r="D3540" s="4">
        <v>-30.642557999999998</v>
      </c>
      <c r="E3540" s="4">
        <f>(((((((((-30.1950162/(10/9))+-10.5)+-0.4)*0.98)*1.11)*0.85)-6.5)+3.2)+-0.3)+0.3</f>
        <v>-38.505763046105393</v>
      </c>
      <c r="F3540" s="4">
        <f>((-1.504914*(1.3/1.5))*0.6)-0.3</f>
        <v>-1.08255528</v>
      </c>
    </row>
    <row r="3541" spans="1:6" x14ac:dyDescent="0.4">
      <c r="A3541" s="4">
        <v>3096.6595750000001</v>
      </c>
      <c r="B3541" s="4">
        <v>1.4196310000000001</v>
      </c>
      <c r="C3541" s="4">
        <v>1.4455248000000001</v>
      </c>
      <c r="D3541" s="4">
        <v>-30.634173999999998</v>
      </c>
      <c r="E3541" s="4">
        <f>(((((((((-30.2059818/(10/9))+-10.5)+-0.4)*0.98)*1.11)*0.85)-6.5)+3.2)+-0.3)+0.3</f>
        <v>-38.514888256560589</v>
      </c>
      <c r="F3541" s="4">
        <f>((-1.5061889*(1.3/1.5))*0.6)-0.3</f>
        <v>-1.083218228</v>
      </c>
    </row>
    <row r="3542" spans="1:6" x14ac:dyDescent="0.4">
      <c r="A3542" s="4">
        <v>3097.5345000000002</v>
      </c>
      <c r="B3542" s="4">
        <v>1.4193789000000001</v>
      </c>
      <c r="C3542" s="4">
        <v>1.4450163</v>
      </c>
      <c r="D3542" s="4">
        <v>-30.626054</v>
      </c>
      <c r="E3542" s="4">
        <f>(((((((((-30.1975848/(10/9))+-10.5)+-0.4)*0.98)*1.11)*0.85)-6.5)+3.2)+-0.3)+0.3</f>
        <v>-38.507900550261603</v>
      </c>
      <c r="F3542" s="4">
        <f>((-1.5071864*(1.3/1.5))*0.6)-0.3</f>
        <v>-1.083736928</v>
      </c>
    </row>
    <row r="3543" spans="1:6" x14ac:dyDescent="0.4">
      <c r="A3543" s="4">
        <v>3098.4094249999998</v>
      </c>
      <c r="B3543" s="4">
        <v>1.4192711</v>
      </c>
      <c r="C3543" s="4">
        <v>1.4449232999999999</v>
      </c>
      <c r="D3543" s="4">
        <v>-30.618033999999998</v>
      </c>
      <c r="E3543" s="4">
        <f>(((((((((-30.1876389/(10/9))+-10.5)+-0.4)*0.98)*1.11)*0.85)-6.5)+3.2)+-0.3)+0.3</f>
        <v>-38.499623900496296</v>
      </c>
      <c r="F3543" s="4">
        <f>((-1.5078834*(1.3/1.5))*0.6)-0.3</f>
        <v>-1.084099368</v>
      </c>
    </row>
    <row r="3544" spans="1:6" x14ac:dyDescent="0.4">
      <c r="A3544" s="4">
        <v>3099.2843499999999</v>
      </c>
      <c r="B3544" s="4">
        <v>1.4190817</v>
      </c>
      <c r="C3544" s="4">
        <v>1.4445600999999999</v>
      </c>
      <c r="D3544" s="4">
        <v>-30.610396999999999</v>
      </c>
      <c r="E3544" s="4">
        <f>(((((((((-30.2136831/(10/9))+-10.5)+-0.4)*0.98)*1.11)*0.85)-6.5)+3.2)+-0.3)+0.3</f>
        <v>-38.5212970242777</v>
      </c>
      <c r="F3544" s="4">
        <f>((-1.5083473*(1.3/1.5))*0.6)-0.3</f>
        <v>-1.0843405960000001</v>
      </c>
    </row>
    <row r="3545" spans="1:6" x14ac:dyDescent="0.4">
      <c r="A3545" s="4">
        <v>3100.159275</v>
      </c>
      <c r="B3545" s="4">
        <v>1.4196882</v>
      </c>
      <c r="C3545" s="4">
        <v>1.4447858</v>
      </c>
      <c r="D3545" s="4">
        <v>-30.602589999999999</v>
      </c>
      <c r="E3545" s="4">
        <f>(((((((((-30.1884381/(10/9))+-10.5)+-0.4)*0.98)*1.11)*0.85)-6.5)+3.2)+-0.3)+0.3</f>
        <v>-38.500288968362696</v>
      </c>
      <c r="F3545" s="4">
        <f>((-1.5086184*(1.3/1.5))*0.6)-0.3</f>
        <v>-1.084481568</v>
      </c>
    </row>
    <row r="3546" spans="1:6" x14ac:dyDescent="0.4">
      <c r="A3546" s="4">
        <v>3101.0342000000001</v>
      </c>
      <c r="B3546" s="4">
        <v>1.4192952000000001</v>
      </c>
      <c r="C3546" s="4">
        <v>1.4443527</v>
      </c>
      <c r="D3546" s="4">
        <v>-30.595455999999999</v>
      </c>
      <c r="E3546" s="4">
        <f>(((((((((-30.2003928/(10/9))+-10.5)+-0.4)*0.98)*1.11)*0.85)-6.5)+3.2)+-0.3)+0.3</f>
        <v>-38.510237275197589</v>
      </c>
      <c r="F3546" s="4">
        <f>((-1.5085979*(1.3/1.5))*0.6)-0.3</f>
        <v>-1.0844709079999999</v>
      </c>
    </row>
    <row r="3547" spans="1:6" x14ac:dyDescent="0.4">
      <c r="A3547" s="4">
        <v>3101.9091250000001</v>
      </c>
      <c r="B3547" s="4">
        <v>1.4190875000000001</v>
      </c>
      <c r="C3547" s="4">
        <v>1.4444182999999999</v>
      </c>
      <c r="D3547" s="4">
        <v>-30.588564999999999</v>
      </c>
      <c r="E3547" s="4">
        <f>(((((((((-30.1927779/(10/9))+-10.5)+-0.4)*0.98)*1.11)*0.85)-6.5)+3.2)+-0.3)+0.3</f>
        <v>-38.503900406709299</v>
      </c>
      <c r="F3547" s="4">
        <f>((-1.5082839*(1.3/1.5))*0.6)-0.3</f>
        <v>-1.0843076279999999</v>
      </c>
    </row>
    <row r="3548" spans="1:6" x14ac:dyDescent="0.4">
      <c r="A3548" s="4">
        <v>3102.7840499999998</v>
      </c>
      <c r="B3548" s="4">
        <v>1.4192013000000001</v>
      </c>
      <c r="C3548" s="4">
        <v>1.444396</v>
      </c>
      <c r="D3548" s="4">
        <v>-30.582167999999999</v>
      </c>
      <c r="E3548" s="4">
        <f>(((((((((-30.1870449/(10/9))+-10.5)+-0.4)*0.98)*1.11)*0.85)-6.5)+3.2)+-0.3)+0.3</f>
        <v>-38.499129593298299</v>
      </c>
      <c r="F3548" s="4">
        <f>((-1.5077318*(1.3/1.5))*0.6)-0.3</f>
        <v>-1.0840205359999999</v>
      </c>
    </row>
    <row r="3549" spans="1:6" x14ac:dyDescent="0.4">
      <c r="A3549" s="4">
        <v>3103.6589750000003</v>
      </c>
      <c r="B3549" s="4">
        <v>1.4193081000000001</v>
      </c>
      <c r="C3549" s="4">
        <v>1.4443944</v>
      </c>
      <c r="D3549" s="4">
        <v>-30.575724999999998</v>
      </c>
      <c r="E3549" s="4">
        <f>(((((((((-30.206583/(10/9))+-10.5)+-0.4)*0.98)*1.11)*0.85)-6.5)+3.2)+-0.3)+0.3</f>
        <v>-38.515388555361</v>
      </c>
      <c r="F3549" s="4">
        <f>((-1.5069019*(1.3/1.5))*0.6)-0.3</f>
        <v>-1.083588988</v>
      </c>
    </row>
    <row r="3550" spans="1:6" x14ac:dyDescent="0.4">
      <c r="A3550" s="4">
        <v>3104.5338999999999</v>
      </c>
      <c r="B3550" s="4">
        <v>1.4190933999999999</v>
      </c>
      <c r="C3550" s="4">
        <v>1.4439044999999999</v>
      </c>
      <c r="D3550" s="4">
        <v>-30.569807999999998</v>
      </c>
      <c r="E3550" s="4">
        <f>(((((((((-30.1918203/(10/9))+-10.5)+-0.4)*0.98)*1.11)*0.85)-6.5)+3.2)+-0.3)+0.3</f>
        <v>-38.503103523590099</v>
      </c>
      <c r="F3550" s="4">
        <f>((-1.5058656*(1.3/1.5))*0.6)-0.3</f>
        <v>-1.083050112</v>
      </c>
    </row>
    <row r="3551" spans="1:6" x14ac:dyDescent="0.4">
      <c r="A3551" s="4">
        <v>3105.408825</v>
      </c>
      <c r="B3551" s="4">
        <v>1.4192461999999999</v>
      </c>
      <c r="C3551" s="4">
        <v>1.4442315999999999</v>
      </c>
      <c r="D3551" s="4">
        <v>-30.564125999999998</v>
      </c>
      <c r="E3551" s="4">
        <f>(((((((((-30.1971105/(10/9))+-10.5)+-0.4)*0.98)*1.11)*0.85)-6.5)+3.2)+-0.3)+0.3</f>
        <v>-38.507505853453488</v>
      </c>
      <c r="F3551" s="4">
        <f>((-1.5046062*(1.3/1.5))*0.6)-0.3</f>
        <v>-1.0823952239999999</v>
      </c>
    </row>
    <row r="3552" spans="1:6" x14ac:dyDescent="0.4">
      <c r="A3552" s="4">
        <v>3106.2837500000001</v>
      </c>
      <c r="B3552" s="4">
        <v>1.4195133</v>
      </c>
      <c r="C3552" s="4">
        <v>1.4441565999999999</v>
      </c>
      <c r="D3552" s="4">
        <v>-30.559204999999999</v>
      </c>
      <c r="E3552" s="4">
        <f>(((((((((-30.1730949/(10/9))+-10.5)+-0.4)*0.98)*1.11)*0.85)-6.5)+3.2)+-0.3)+0.3</f>
        <v>-38.487520863648285</v>
      </c>
      <c r="F3552" s="4">
        <f>((-1.503116*(1.3/1.5))*0.6)-0.3</f>
        <v>-1.0816203199999999</v>
      </c>
    </row>
    <row r="3553" spans="1:6" x14ac:dyDescent="0.4">
      <c r="A3553" s="4">
        <v>3107.1586749999997</v>
      </c>
      <c r="B3553" s="4">
        <v>1.4190166</v>
      </c>
      <c r="C3553" s="4">
        <v>1.4437245999999999</v>
      </c>
      <c r="D3553" s="4">
        <v>-30.554306999999998</v>
      </c>
      <c r="E3553" s="4">
        <f>(((((((((-30.1982472/(10/9))+-10.5)+-0.4)*0.98)*1.11)*0.85)-6.5)+3.2)+-0.3)+0.3</f>
        <v>-38.508451777682396</v>
      </c>
      <c r="F3553" s="4">
        <f>((-1.5014877*(1.3/1.5))*0.6)-0.3</f>
        <v>-1.080773604</v>
      </c>
    </row>
    <row r="3554" spans="1:6" x14ac:dyDescent="0.4">
      <c r="A3554" s="4">
        <v>3108.0336000000002</v>
      </c>
      <c r="B3554" s="4">
        <v>1.4192615</v>
      </c>
      <c r="C3554" s="4">
        <v>1.4436720999999999</v>
      </c>
      <c r="D3554" s="4">
        <v>-30.549503999999999</v>
      </c>
      <c r="E3554" s="4">
        <f>(((((((((-30.2009355/(10/9))+-10.5)+-0.4)*0.98)*1.11)*0.85)-6.5)+3.2)+-0.3)+0.3</f>
        <v>-38.510688892228501</v>
      </c>
      <c r="F3554" s="4">
        <f>((-1.4996593*(1.3/1.5))*0.6)-0.3</f>
        <v>-1.079822836</v>
      </c>
    </row>
    <row r="3555" spans="1:6" x14ac:dyDescent="0.4">
      <c r="A3555" s="4">
        <v>3108.9085249999998</v>
      </c>
      <c r="B3555" s="4">
        <v>1.4196218</v>
      </c>
      <c r="C3555" s="4">
        <v>1.4432859</v>
      </c>
      <c r="D3555" s="4">
        <v>-30.545649999999998</v>
      </c>
      <c r="E3555" s="4">
        <f>(((((((((-30.1804695/(10/9))+-10.5)+-0.4)*0.98)*1.11)*0.85)-6.5)+3.2)+-0.3)+0.3</f>
        <v>-38.4936577624065</v>
      </c>
      <c r="F3555" s="4">
        <f>((-1.4976569*(1.3/1.5))*0.6)-0.3</f>
        <v>-1.078781588</v>
      </c>
    </row>
    <row r="3556" spans="1:6" x14ac:dyDescent="0.4">
      <c r="A3556" s="4">
        <v>3109.7834500000004</v>
      </c>
      <c r="B3556" s="4">
        <v>1.4195173000000001</v>
      </c>
      <c r="C3556" s="4">
        <v>1.4433229999999999</v>
      </c>
      <c r="D3556" s="4">
        <v>-30.541719000000001</v>
      </c>
      <c r="E3556" s="4">
        <f>(((((((((-30.1549509/(10/9))+-10.5)+-0.4)*0.98)*1.11)*0.85)-6.5)+3.2)+-0.3)+0.3</f>
        <v>-38.472422025600295</v>
      </c>
      <c r="F3556" s="4">
        <f>((-1.4954525*(1.3/1.5))*0.6)-0.3</f>
        <v>-1.0776353000000001</v>
      </c>
    </row>
    <row r="3557" spans="1:6" x14ac:dyDescent="0.4">
      <c r="A3557" s="4">
        <v>3110.658375</v>
      </c>
      <c r="B3557" s="4">
        <v>1.4196413000000001</v>
      </c>
      <c r="C3557" s="4">
        <v>1.4433407</v>
      </c>
      <c r="D3557" s="4">
        <v>-30.538201999999998</v>
      </c>
      <c r="E3557" s="4">
        <f>(((((((((-30.1378122/(10/9))+-10.5)+-0.4)*0.98)*1.11)*0.85)-6.5)+3.2)+-0.3)+0.3</f>
        <v>-38.458159765037401</v>
      </c>
      <c r="F3557" s="4">
        <f>((-1.4930555*(1.3/1.5))*0.6)-0.3</f>
        <v>-1.07638886</v>
      </c>
    </row>
    <row r="3558" spans="1:6" x14ac:dyDescent="0.4">
      <c r="A3558" s="4">
        <v>3111.5332999999996</v>
      </c>
      <c r="B3558" s="4">
        <v>1.4193553000000001</v>
      </c>
      <c r="C3558" s="4">
        <v>1.4428183000000001</v>
      </c>
      <c r="D3558" s="4">
        <v>-30.535270000000001</v>
      </c>
      <c r="E3558" s="4">
        <f>(((((((((-30.1867353/(10/9))+-10.5)+-0.4)*0.98)*1.11)*0.85)-6.5)+3.2)+-0.3)+0.3</f>
        <v>-38.498871954395092</v>
      </c>
      <c r="F3558" s="4">
        <f>((-1.4904416*(1.3/1.5))*0.6)-0.3</f>
        <v>-1.0750296319999999</v>
      </c>
    </row>
    <row r="3559" spans="1:6" x14ac:dyDescent="0.4">
      <c r="A3559" s="4">
        <v>3112.4082250000001</v>
      </c>
      <c r="B3559" s="4">
        <v>1.4191372</v>
      </c>
      <c r="C3559" s="4">
        <v>1.4428692000000001</v>
      </c>
      <c r="D3559" s="4">
        <v>-30.532685000000001</v>
      </c>
      <c r="E3559" s="4">
        <f>(((((((((-30.1390992/(10/9))+-10.5)+-0.4)*0.98)*1.11)*0.85)-6.5)+3.2)+-0.3)+0.3</f>
        <v>-38.459230763966396</v>
      </c>
      <c r="F3559" s="4">
        <f>((-1.4877295*(1.3/1.5))*0.6)-0.3</f>
        <v>-1.0736193399999998</v>
      </c>
    </row>
    <row r="3560" spans="1:6" x14ac:dyDescent="0.4">
      <c r="A3560" s="4">
        <v>3113.2831499999998</v>
      </c>
      <c r="B3560" s="4">
        <v>1.4191252000000001</v>
      </c>
      <c r="C3560" s="4">
        <v>1.4428331000000001</v>
      </c>
      <c r="D3560" s="4">
        <v>-30.530501999999998</v>
      </c>
      <c r="E3560" s="4">
        <f>(((((((((-30.1638051/(10/9))+-10.5)+-0.4)*0.98)*1.11)*0.85)-6.5)+3.2)+-0.3)+0.3</f>
        <v>-38.479790198651699</v>
      </c>
      <c r="F3560" s="4">
        <f>((-1.4849126*(1.3/1.5))*0.6)-0.3</f>
        <v>-1.072154552</v>
      </c>
    </row>
    <row r="3561" spans="1:6" x14ac:dyDescent="0.4">
      <c r="A3561" s="4">
        <v>3114.1580750000003</v>
      </c>
      <c r="B3561" s="4">
        <v>1.4196076</v>
      </c>
      <c r="C3561" s="4">
        <v>1.4429822999999999</v>
      </c>
      <c r="D3561" s="4">
        <v>-30.528607999999998</v>
      </c>
      <c r="E3561" s="4">
        <f>(((((((((-30.1599117/(10/9))+-10.5)+-0.4)*0.98)*1.11)*0.85)-6.5)+3.2)+-0.3)+0.3</f>
        <v>-38.476550239653896</v>
      </c>
      <c r="F3561" s="4">
        <f>((-1.4819429*(1.3/1.5))*0.6)-0.3</f>
        <v>-1.070610308</v>
      </c>
    </row>
    <row r="3562" spans="1:6" x14ac:dyDescent="0.4">
      <c r="A3562" s="4">
        <v>3115.0329999999999</v>
      </c>
      <c r="B3562" s="4">
        <v>1.4195340000000001</v>
      </c>
      <c r="C3562" s="4">
        <v>1.4428451</v>
      </c>
      <c r="D3562" s="4">
        <v>-30.527300999999998</v>
      </c>
      <c r="E3562" s="4">
        <f>(((((((((-30.1403799/(10/9))+-10.5)+-0.4)*0.98)*1.11)*0.85)-6.5)+3.2)+-0.3)+0.3</f>
        <v>-38.46029652024329</v>
      </c>
      <c r="F3562" s="4">
        <f>((-1.4788038*(1.3/1.5))*0.6)-0.3</f>
        <v>-1.0689779759999998</v>
      </c>
    </row>
    <row r="3563" spans="1:6" x14ac:dyDescent="0.4">
      <c r="A3563" s="4">
        <v>3115.907925</v>
      </c>
      <c r="B3563" s="4">
        <v>1.4192194</v>
      </c>
      <c r="C3563" s="4">
        <v>1.4427131</v>
      </c>
      <c r="D3563" s="4">
        <v>-30.526661999999998</v>
      </c>
      <c r="E3563" s="4">
        <f>(((((((((-30.1425912/(10/9))+-10.5)+-0.4)*0.98)*1.11)*0.85)-6.5)+3.2)+-0.3)+0.3</f>
        <v>-38.462136691130389</v>
      </c>
      <c r="F3563" s="4">
        <f>((-1.4755749*(1.3/1.5))*0.6)-0.3</f>
        <v>-1.0672989479999999</v>
      </c>
    </row>
    <row r="3564" spans="1:6" x14ac:dyDescent="0.4">
      <c r="A3564" s="4">
        <v>3116.7828500000001</v>
      </c>
      <c r="B3564" s="4">
        <v>1.4193357</v>
      </c>
      <c r="C3564" s="4">
        <v>1.4429498999999999</v>
      </c>
      <c r="D3564" s="4">
        <v>-30.526332</v>
      </c>
      <c r="E3564" s="4">
        <f>(((((((((-30.1359132/(10/9))+-10.5)+-0.4)*0.98)*1.11)*0.85)-6.5)+3.2)+-0.3)+0.3</f>
        <v>-38.456579479904399</v>
      </c>
      <c r="F3564" s="4">
        <f>((-1.4722677*(1.3/1.5))*0.6)-0.3</f>
        <v>-1.0655792039999998</v>
      </c>
    </row>
    <row r="3565" spans="1:6" x14ac:dyDescent="0.4">
      <c r="A3565" s="4">
        <v>3117.6577750000001</v>
      </c>
      <c r="B3565" s="4">
        <v>1.4193053</v>
      </c>
      <c r="C3565" s="4">
        <v>1.4427505</v>
      </c>
      <c r="D3565" s="4">
        <v>-30.526011999999998</v>
      </c>
      <c r="E3565" s="4">
        <f>(((((((((-30.1316769/(10/9))+-10.5)+-0.4)*0.98)*1.11)*0.85)-6.5)+3.2)+-0.3)+0.3</f>
        <v>-38.4530541708423</v>
      </c>
      <c r="F3565" s="4">
        <f>((-1.4688666*(1.3/1.5))*0.6)-0.3</f>
        <v>-1.0638106319999998</v>
      </c>
    </row>
    <row r="3566" spans="1:6" x14ac:dyDescent="0.4">
      <c r="A3566" s="4">
        <v>3118.5327000000002</v>
      </c>
      <c r="B3566" s="4">
        <v>1.4193369</v>
      </c>
      <c r="C3566" s="4">
        <v>1.4432672</v>
      </c>
      <c r="D3566" s="4">
        <v>-30.527076000000001</v>
      </c>
      <c r="E3566" s="4">
        <f>(((((((((-30.0836016/(10/9))+-10.5)+-0.4)*0.98)*1.11)*0.85)-6.5)+3.2)+-0.3)+0.3</f>
        <v>-38.413047492667197</v>
      </c>
      <c r="F3566" s="4">
        <f>((-1.4653895*(1.3/1.5))*0.6)-0.3</f>
        <v>-1.0620025399999999</v>
      </c>
    </row>
    <row r="3567" spans="1:6" x14ac:dyDescent="0.4">
      <c r="A3567" s="4">
        <v>3119.4076249999998</v>
      </c>
      <c r="B3567" s="4">
        <v>1.4195688</v>
      </c>
      <c r="C3567" s="4">
        <v>1.4434629999999999</v>
      </c>
      <c r="D3567" s="4">
        <v>-30.527694</v>
      </c>
      <c r="E3567" s="4">
        <f>(((((((((-30.1299984/(10/9))+-10.5)+-0.4)*0.98)*1.11)*0.85)-6.5)+3.2)+-0.3)+0.3</f>
        <v>-38.451657378532794</v>
      </c>
      <c r="F3567" s="4">
        <f>((-1.461889*(1.3/1.5))*0.6)-0.3</f>
        <v>-1.06018228</v>
      </c>
    </row>
    <row r="3568" spans="1:6" x14ac:dyDescent="0.4">
      <c r="A3568" s="4">
        <v>3120.2825499999999</v>
      </c>
      <c r="B3568" s="4">
        <v>1.4193169000000001</v>
      </c>
      <c r="C3568" s="4">
        <v>1.4436954</v>
      </c>
      <c r="D3568" s="4">
        <v>-30.528925999999998</v>
      </c>
      <c r="E3568" s="4">
        <f>(((((((((-30.1353093/(10/9))+-10.5)+-0.4)*0.98)*1.11)*0.85)-6.5)+3.2)+-0.3)+0.3</f>
        <v>-38.456076934253097</v>
      </c>
      <c r="F3568" s="4">
        <f>((-1.4583071*(1.3/1.5))*0.6)-0.3</f>
        <v>-1.058319692</v>
      </c>
    </row>
    <row r="3569" spans="1:6" x14ac:dyDescent="0.4">
      <c r="A3569" s="4">
        <v>3121.157475</v>
      </c>
      <c r="B3569" s="4">
        <v>1.4190723000000001</v>
      </c>
      <c r="C3569" s="4">
        <v>1.4439093999999999</v>
      </c>
      <c r="D3569" s="4">
        <v>-30.530538</v>
      </c>
      <c r="E3569" s="4">
        <f>(((((((((-30.1015845/(10/9))+-10.5)+-0.4)*0.98)*1.11)*0.85)-6.5)+3.2)+-0.3)+0.3</f>
        <v>-38.428012268611489</v>
      </c>
      <c r="F3569" s="4">
        <f>((-1.454681*(1.3/1.5))*0.6)-0.3</f>
        <v>-1.05643412</v>
      </c>
    </row>
    <row r="3570" spans="1:6" x14ac:dyDescent="0.4">
      <c r="A3570" s="4">
        <v>3122.0324000000001</v>
      </c>
      <c r="B3570" s="4">
        <v>1.4191328000000001</v>
      </c>
      <c r="C3570" s="4">
        <v>1.4443694</v>
      </c>
      <c r="D3570" s="4">
        <v>-30.532540999999998</v>
      </c>
      <c r="E3570" s="4">
        <f>(((((((((-30.1063428/(10/9))+-10.5)+-0.4)*0.98)*1.11)*0.85)-6.5)+3.2)+-0.3)+0.3</f>
        <v>-38.431971968847598</v>
      </c>
      <c r="F3570" s="4">
        <f>((-1.4511338*(1.3/1.5))*0.6)-0.3</f>
        <v>-1.0545895759999999</v>
      </c>
    </row>
    <row r="3571" spans="1:6" x14ac:dyDescent="0.4">
      <c r="A3571" s="4">
        <v>3122.9073250000001</v>
      </c>
      <c r="B3571" s="4">
        <v>1.4193064</v>
      </c>
      <c r="C3571" s="4">
        <v>1.4443626000000001</v>
      </c>
      <c r="D3571" s="4">
        <v>-30.535104</v>
      </c>
      <c r="E3571" s="4">
        <f>(((((((((-30.0929436/(10/9))+-10.5)+-0.4)*0.98)*1.11)*0.85)-6.5)+3.2)+-0.3)+0.3</f>
        <v>-38.420821596781195</v>
      </c>
      <c r="F3571" s="4">
        <f>((-1.4475905*(1.3/1.5))*0.6)-0.3</f>
        <v>-1.05274706</v>
      </c>
    </row>
    <row r="3572" spans="1:6" x14ac:dyDescent="0.4">
      <c r="A3572" s="4">
        <v>3123.7822500000002</v>
      </c>
      <c r="B3572" s="4">
        <v>1.4194180000000001</v>
      </c>
      <c r="C3572" s="4">
        <v>1.4446095999999999</v>
      </c>
      <c r="D3572" s="4">
        <v>-30.537526</v>
      </c>
      <c r="E3572" s="4">
        <f>(((((((((-30.0963969/(10/9))+-10.5)+-0.4)*0.98)*1.11)*0.85)-6.5)+3.2)+-0.3)+0.3</f>
        <v>-38.423695319082299</v>
      </c>
      <c r="F3572" s="4">
        <f>((-1.4439679*(1.3/1.5))*0.6)-0.3</f>
        <v>-1.0508633080000001</v>
      </c>
    </row>
    <row r="3573" spans="1:6" x14ac:dyDescent="0.4">
      <c r="A3573" s="4">
        <v>3124.6571749999998</v>
      </c>
      <c r="B3573" s="4">
        <v>1.4191729</v>
      </c>
      <c r="C3573" s="4">
        <v>1.4444452999999999</v>
      </c>
      <c r="D3573" s="4">
        <v>-30.540047999999999</v>
      </c>
      <c r="E3573" s="4">
        <f>(((((((((-30.0544191/(10/9))+-10.5)+-0.4)*0.98)*1.11)*0.85)-6.5)+3.2)+-0.3)+0.3</f>
        <v>-38.388762779189697</v>
      </c>
      <c r="F3573" s="4">
        <f>((-1.4403806*(1.3/1.5))*0.6)-0.3</f>
        <v>-1.0489979119999999</v>
      </c>
    </row>
    <row r="3574" spans="1:6" x14ac:dyDescent="0.4">
      <c r="A3574" s="4">
        <v>3125.5320999999999</v>
      </c>
      <c r="B3574" s="4">
        <v>1.4194623</v>
      </c>
      <c r="C3574" s="4">
        <v>1.4447303</v>
      </c>
      <c r="D3574" s="4">
        <v>-30.543234999999999</v>
      </c>
      <c r="E3574" s="4">
        <f>(((((((((-30.0570282/(10/9))+-10.5)+-0.4)*0.98)*1.11)*0.85)-6.5)+3.2)+-0.3)+0.3</f>
        <v>-38.390933986109403</v>
      </c>
      <c r="F3574" s="4">
        <f>((-1.4368327*(1.3/1.5))*0.6)-0.3</f>
        <v>-1.0471530040000001</v>
      </c>
    </row>
    <row r="3575" spans="1:6" x14ac:dyDescent="0.4">
      <c r="A3575" s="4">
        <v>3126.407025</v>
      </c>
      <c r="B3575" s="4">
        <v>1.4195599999999999</v>
      </c>
      <c r="C3575" s="4">
        <v>1.4448080000000001</v>
      </c>
      <c r="D3575" s="4">
        <v>-30.546422</v>
      </c>
      <c r="E3575" s="4">
        <f>(((((((((-30.061584/(10/9))+-10.5)+-0.4)*0.98)*1.11)*0.85)-6.5)+3.2)+-0.3)+0.3</f>
        <v>-38.394725172527998</v>
      </c>
      <c r="F3575" s="4">
        <f>((-1.4333187*(1.3/1.5))*0.6)-0.3</f>
        <v>-1.045325724</v>
      </c>
    </row>
    <row r="3576" spans="1:6" x14ac:dyDescent="0.4">
      <c r="A3576" s="4">
        <v>3127.2819500000001</v>
      </c>
      <c r="B3576" s="4">
        <v>1.4194773000000001</v>
      </c>
      <c r="C3576" s="4">
        <v>1.4448004000000001</v>
      </c>
      <c r="D3576" s="4">
        <v>-30.550155</v>
      </c>
      <c r="E3576" s="4">
        <f>(((((((((-30.0325698/(10/9))+-10.5)+-0.4)*0.98)*1.11)*0.85)-6.5)+3.2)+-0.3)+0.3</f>
        <v>-38.370580512756597</v>
      </c>
      <c r="F3576" s="4">
        <f>((-1.4298345*(1.3/1.5))*0.6)-0.3</f>
        <v>-1.04351394</v>
      </c>
    </row>
    <row r="3577" spans="1:6" x14ac:dyDescent="0.4">
      <c r="A3577" s="4">
        <v>3128.1568750000001</v>
      </c>
      <c r="B3577" s="4">
        <v>1.4193009000000001</v>
      </c>
      <c r="C3577" s="4">
        <v>1.4442375000000001</v>
      </c>
      <c r="D3577" s="4">
        <v>-30.554417999999998</v>
      </c>
      <c r="E3577" s="4">
        <f>(((((((((-30.0449943/(10/9))+-10.5)+-0.4)*0.98)*1.11)*0.85)-6.5)+3.2)+-0.3)+0.3</f>
        <v>-38.380919771648095</v>
      </c>
      <c r="F3577" s="4">
        <f>((-1.4264787*(1.3/1.5))*0.6)-0.3</f>
        <v>-1.0417689240000001</v>
      </c>
    </row>
    <row r="3578" spans="1:6" x14ac:dyDescent="0.4">
      <c r="A3578" s="4">
        <v>3129.0317999999997</v>
      </c>
      <c r="B3578" s="4">
        <v>1.4194504999999999</v>
      </c>
      <c r="C3578" s="4">
        <v>1.4440861</v>
      </c>
      <c r="D3578" s="4">
        <v>-30.558719</v>
      </c>
      <c r="E3578" s="4">
        <f>(((((((((-30.0500073/(10/9))+-10.5)+-0.4)*0.98)*1.11)*0.85)-6.5)+3.2)+-0.3)+0.3</f>
        <v>-38.385091424819102</v>
      </c>
      <c r="F3578" s="4">
        <f>((-1.4232099*(1.3/1.5))*0.6)-0.3</f>
        <v>-1.0400691479999999</v>
      </c>
    </row>
    <row r="3579" spans="1:6" x14ac:dyDescent="0.4">
      <c r="A3579" s="4">
        <v>3129.9067250000003</v>
      </c>
      <c r="B3579" s="4">
        <v>1.4192728999999999</v>
      </c>
      <c r="C3579" s="4">
        <v>1.4438906</v>
      </c>
      <c r="D3579" s="4">
        <v>-30.562481999999999</v>
      </c>
      <c r="E3579" s="4">
        <f>(((((((((-30.0419631/(10/9))+-10.5)+-0.4)*0.98)*1.11)*0.85)-6.5)+3.2)+-0.3)+0.3</f>
        <v>-38.378397307037694</v>
      </c>
      <c r="F3579" s="4">
        <f>((-1.4200464*(1.3/1.5))*0.6)-0.3</f>
        <v>-1.0384241279999999</v>
      </c>
    </row>
    <row r="3580" spans="1:6" x14ac:dyDescent="0.4">
      <c r="A3580" s="4">
        <v>3130.7816499999999</v>
      </c>
      <c r="B3580" s="4">
        <v>1.4197527000000001</v>
      </c>
      <c r="C3580" s="4">
        <v>1.4436334</v>
      </c>
      <c r="D3580" s="4">
        <v>-30.566969999999998</v>
      </c>
      <c r="E3580" s="4">
        <f>(((((((((-30.0325392/(10/9))+-10.5)+-0.4)*0.98)*1.11)*0.85)-6.5)+3.2)+-0.3)+0.3</f>
        <v>-38.370555048446398</v>
      </c>
      <c r="F3580" s="4">
        <f>((-1.416924*(1.3/1.5))*0.6)-0.3</f>
        <v>-1.0368004799999999</v>
      </c>
    </row>
    <row r="3581" spans="1:6" x14ac:dyDescent="0.4">
      <c r="A3581" s="4">
        <v>3131.656575</v>
      </c>
      <c r="B3581" s="4">
        <v>1.4196956000000001</v>
      </c>
      <c r="C3581" s="4">
        <v>1.4431927</v>
      </c>
      <c r="D3581" s="4">
        <v>-30.571469</v>
      </c>
      <c r="E3581" s="4">
        <f>(((((((((-29.9947113/(10/9))+-10.5)+-0.4)*0.98)*1.11)*0.85)-6.5)+3.2)+-0.3)+0.3</f>
        <v>-38.339075918387095</v>
      </c>
      <c r="F3581" s="4">
        <f>((-1.4139464*(1.3/1.5))*0.6)-0.3</f>
        <v>-1.035252128</v>
      </c>
    </row>
    <row r="3582" spans="1:6" x14ac:dyDescent="0.4">
      <c r="A3582" s="4">
        <v>3132.5315000000001</v>
      </c>
      <c r="B3582" s="4">
        <v>1.4196172</v>
      </c>
      <c r="C3582" s="4">
        <v>1.4431989000000001</v>
      </c>
      <c r="D3582" s="4">
        <v>-30.576309999999999</v>
      </c>
      <c r="E3582" s="4">
        <f>(((((((((-30.0274992/(10/9))+-10.5)+-0.4)*0.98)*1.11)*0.85)-6.5)+3.2)+-0.3)+0.3</f>
        <v>-38.36636092676639</v>
      </c>
      <c r="F3582" s="4">
        <f>((-1.4111203*(1.3/1.5))*0.6)-0.3</f>
        <v>-1.033782556</v>
      </c>
    </row>
    <row r="3583" spans="1:6" x14ac:dyDescent="0.4">
      <c r="A3583" s="4">
        <v>3133.4064249999997</v>
      </c>
      <c r="B3583" s="4">
        <v>1.4195998000000001</v>
      </c>
      <c r="C3583" s="4">
        <v>1.4430946</v>
      </c>
      <c r="D3583" s="4">
        <v>-30.581137999999999</v>
      </c>
      <c r="E3583" s="4">
        <f>(((((((((-30.0024162/(10/9))+-10.5)+-0.4)*0.98)*1.11)*0.85)-6.5)+3.2)+-0.3)+0.3</f>
        <v>-38.345487681905396</v>
      </c>
      <c r="F3583" s="4">
        <f>((-1.4084337*(1.3/1.5))*0.6)-0.3</f>
        <v>-1.0323855239999999</v>
      </c>
    </row>
    <row r="3584" spans="1:6" x14ac:dyDescent="0.4">
      <c r="A3584" s="4">
        <v>3134.2813500000002</v>
      </c>
      <c r="B3584" s="4">
        <v>1.4198432999999999</v>
      </c>
      <c r="C3584" s="4">
        <v>1.4429088000000001</v>
      </c>
      <c r="D3584" s="4">
        <v>-30.585971000000001</v>
      </c>
      <c r="E3584" s="4">
        <f>(((((((((-30.0158568/(10/9))+-10.5)+-0.4)*0.98)*1.11)*0.85)-6.5)+3.2)+-0.3)+0.3</f>
        <v>-38.356672505685601</v>
      </c>
      <c r="F3584" s="4">
        <f>((-1.4058243*(1.3/1.5))*0.6)-0.3</f>
        <v>-1.0310286360000001</v>
      </c>
    </row>
    <row r="3585" spans="1:6" x14ac:dyDescent="0.4">
      <c r="A3585" s="4">
        <v>3135.1562749999998</v>
      </c>
      <c r="B3585" s="4">
        <v>1.4199736999999999</v>
      </c>
      <c r="C3585" s="4">
        <v>1.4426918</v>
      </c>
      <c r="D3585" s="4">
        <v>-30.591106</v>
      </c>
      <c r="E3585" s="4">
        <f>(((((((((-30.019644/(10/9))+-10.5)+-0.4)*0.98)*1.11)*0.85)-6.5)+3.2)+-0.3)+0.3</f>
        <v>-38.359824088547988</v>
      </c>
      <c r="F3585" s="4">
        <f>((-1.4034199*(1.3/1.5))*0.6)-0.3</f>
        <v>-1.029778348</v>
      </c>
    </row>
    <row r="3586" spans="1:6" x14ac:dyDescent="0.4">
      <c r="A3586" s="4">
        <v>3136.0312000000004</v>
      </c>
      <c r="B3586" s="4">
        <v>1.4199729000000001</v>
      </c>
      <c r="C3586" s="4">
        <v>1.4422889000000001</v>
      </c>
      <c r="D3586" s="4">
        <v>-30.596211999999998</v>
      </c>
      <c r="E3586" s="4">
        <f>(((((((((-30.0073734/(10/9))+-10.5)+-0.4)*0.98)*1.11)*0.85)-6.5)+3.2)+-0.3)+0.3</f>
        <v>-38.349612900157801</v>
      </c>
      <c r="F3586" s="4">
        <f>((-1.4012145*(1.3/1.5))*0.6)-0.3</f>
        <v>-1.0286315400000001</v>
      </c>
    </row>
    <row r="3587" spans="1:6" x14ac:dyDescent="0.4">
      <c r="A3587" s="4">
        <v>3136.906125</v>
      </c>
      <c r="B3587" s="4">
        <v>1.4199473</v>
      </c>
      <c r="C3587" s="4">
        <v>1.4423048000000001</v>
      </c>
      <c r="D3587" s="4">
        <v>-30.601043000000001</v>
      </c>
      <c r="E3587" s="4">
        <f>(((((((((-29.9823867/(10/9))+-10.5)+-0.4)*0.98)*1.11)*0.85)-6.5)+3.2)+-0.3)+0.3</f>
        <v>-38.328819792978898</v>
      </c>
      <c r="F3587" s="4">
        <f>((-1.399194*(1.3/1.5))*0.6)-0.3</f>
        <v>-1.0275808799999999</v>
      </c>
    </row>
    <row r="3588" spans="1:6" x14ac:dyDescent="0.4">
      <c r="A3588" s="4">
        <v>3137.7810499999996</v>
      </c>
      <c r="B3588" s="4">
        <v>1.4199158000000001</v>
      </c>
      <c r="C3588" s="4">
        <v>1.4420858999999999</v>
      </c>
      <c r="D3588" s="4">
        <v>-30.606527</v>
      </c>
      <c r="E3588" s="4">
        <f>(((((((((-30.0078063/(10/9))+-10.5)+-0.4)*0.98)*1.11)*0.85)-6.5)+3.2)+-0.3)+0.3</f>
        <v>-38.3499731452521</v>
      </c>
      <c r="F3588" s="4">
        <f>((-1.3973259*(1.3/1.5))*0.6)-0.3</f>
        <v>-1.026609468</v>
      </c>
    </row>
    <row r="3589" spans="1:6" x14ac:dyDescent="0.4">
      <c r="A3589" s="4">
        <v>3138.6559750000001</v>
      </c>
      <c r="B3589" s="4">
        <v>1.4201044</v>
      </c>
      <c r="C3589" s="4">
        <v>1.4421808</v>
      </c>
      <c r="D3589" s="4">
        <v>-30.611879999999999</v>
      </c>
      <c r="E3589" s="4">
        <f>(((((((((-29.995659/(10/9))+-10.5)+-0.4)*0.98)*1.11)*0.85)-6.5)+3.2)+-0.3)+0.3</f>
        <v>-38.339864563052991</v>
      </c>
      <c r="F3589" s="4">
        <f>((-1.3956462*(1.3/1.5))*0.6)-0.3</f>
        <v>-1.025736024</v>
      </c>
    </row>
    <row r="3590" spans="1:6" x14ac:dyDescent="0.4">
      <c r="A3590" s="4">
        <v>3139.5308999999997</v>
      </c>
      <c r="B3590" s="4">
        <v>1.4201206</v>
      </c>
      <c r="C3590" s="4">
        <v>1.441838</v>
      </c>
      <c r="D3590" s="4">
        <v>-30.617366000000001</v>
      </c>
      <c r="E3590" s="4">
        <f>(((((((((-29.9821806/(10/9))+-10.5)+-0.4)*0.98)*1.11)*0.85)-6.5)+3.2)+-0.3)+0.3</f>
        <v>-38.328648283360188</v>
      </c>
      <c r="F3590" s="4">
        <f>((-1.3941422*(1.3/1.5))*0.6)-0.3</f>
        <v>-1.024953944</v>
      </c>
    </row>
    <row r="3591" spans="1:6" x14ac:dyDescent="0.4">
      <c r="A3591" s="4">
        <v>3140.4058250000003</v>
      </c>
      <c r="B3591" s="4">
        <v>1.4203011000000001</v>
      </c>
      <c r="C3591" s="4">
        <v>1.4420624</v>
      </c>
      <c r="D3591" s="4">
        <v>-30.622713999999998</v>
      </c>
      <c r="E3591" s="4">
        <f>(((((((((-29.959236/(10/9))+-10.5)+-0.4)*0.98)*1.11)*0.85)-6.5)+3.2)+-0.3)+0.3</f>
        <v>-38.309554544411995</v>
      </c>
      <c r="F3591" s="4">
        <f>((-1.3928427*(1.3/1.5))*0.6)-0.3</f>
        <v>-1.024278204</v>
      </c>
    </row>
    <row r="3592" spans="1:6" x14ac:dyDescent="0.4">
      <c r="A3592" s="4">
        <v>3141.2807499999999</v>
      </c>
      <c r="B3592" s="4">
        <v>1.4201292999999999</v>
      </c>
      <c r="C3592" s="4">
        <v>1.4413940999999999</v>
      </c>
      <c r="D3592" s="4">
        <v>-30.627703999999998</v>
      </c>
      <c r="E3592" s="4">
        <f>(((((((((-29.9881611/(10/9))+-10.5)+-0.4)*0.98)*1.11)*0.85)-6.5)+3.2)+-0.3)+0.3</f>
        <v>-38.333625058103692</v>
      </c>
      <c r="F3592" s="4">
        <f>((-1.3917344*(1.3/1.5))*0.6)-0.3</f>
        <v>-1.0237018879999999</v>
      </c>
    </row>
    <row r="3593" spans="1:6" x14ac:dyDescent="0.4">
      <c r="A3593" s="4">
        <v>3142.155675</v>
      </c>
      <c r="B3593" s="4">
        <v>1.4202348</v>
      </c>
      <c r="C3593" s="4">
        <v>1.4408889</v>
      </c>
      <c r="D3593" s="4">
        <v>-30.632503</v>
      </c>
      <c r="E3593" s="4">
        <f>(((((((((-29.9711664/(10/9))+-10.5)+-0.4)*0.98)*1.11)*0.85)-6.5)+3.2)+-0.3)+0.3</f>
        <v>-38.319482629588798</v>
      </c>
      <c r="F3593" s="4">
        <f>((-1.3907789*(1.3/1.5))*0.6)-0.3</f>
        <v>-1.023205028</v>
      </c>
    </row>
    <row r="3594" spans="1:6" x14ac:dyDescent="0.4">
      <c r="A3594" s="4">
        <v>3143.0306</v>
      </c>
      <c r="B3594" s="4">
        <v>1.4201193999999999</v>
      </c>
      <c r="C3594" s="4">
        <v>1.4406163000000001</v>
      </c>
      <c r="D3594" s="4">
        <v>-30.637626000000001</v>
      </c>
      <c r="E3594" s="4">
        <f>(((((((((-29.970765/(10/9))+-10.5)+-0.4)*0.98)*1.11)*0.85)-6.5)+3.2)+-0.3)+0.3</f>
        <v>-38.319148597754996</v>
      </c>
      <c r="F3594" s="4">
        <f>((-1.3900015*(1.3/1.5))*0.6)-0.3</f>
        <v>-1.0228007799999999</v>
      </c>
    </row>
    <row r="3595" spans="1:6" x14ac:dyDescent="0.4">
      <c r="A3595" s="4">
        <v>3143.9055250000001</v>
      </c>
      <c r="B3595" s="4">
        <v>1.4202650000000001</v>
      </c>
      <c r="C3595" s="4">
        <v>1.4410542</v>
      </c>
      <c r="D3595" s="4">
        <v>-30.642319999999998</v>
      </c>
      <c r="E3595" s="4">
        <f>(((((((((-29.9369682/(10/9))+-10.5)+-0.4)*0.98)*1.11)*0.85)-6.5)+3.2)+-0.3)+0.3</f>
        <v>-38.291024016089395</v>
      </c>
      <c r="F3595" s="4">
        <f>((-1.389439*(1.3/1.5))*0.6)-0.3</f>
        <v>-1.02250828</v>
      </c>
    </row>
    <row r="3596" spans="1:6" x14ac:dyDescent="0.4">
      <c r="A3596" s="4">
        <v>3144.7804500000002</v>
      </c>
      <c r="B3596" s="4">
        <v>1.4202912000000001</v>
      </c>
      <c r="C3596" s="4">
        <v>1.4410714</v>
      </c>
      <c r="D3596" s="4">
        <v>-30.647072999999999</v>
      </c>
      <c r="E3596" s="4">
        <f>(((((((((-29.9573955/(10/9))+-10.5)+-0.4)*0.98)*1.11)*0.85)-6.5)+3.2)+-0.3)+0.3</f>
        <v>-38.308022941048499</v>
      </c>
      <c r="F3596" s="4">
        <f>((-1.3891137*(1.3/1.5))*0.6)-0.3</f>
        <v>-1.0223391239999999</v>
      </c>
    </row>
    <row r="3597" spans="1:6" x14ac:dyDescent="0.4">
      <c r="A3597" s="4">
        <v>3145.6553749999998</v>
      </c>
      <c r="B3597" s="4">
        <v>1.4202992999999999</v>
      </c>
      <c r="C3597" s="4">
        <v>1.4412438000000001</v>
      </c>
      <c r="D3597" s="4">
        <v>-30.65175</v>
      </c>
      <c r="E3597" s="4">
        <f>(((((((((-29.9729655/(10/9))+-10.5)+-0.4)*0.98)*1.11)*0.85)-6.5)+3.2)+-0.3)+0.3</f>
        <v>-38.320979781238499</v>
      </c>
      <c r="F3597" s="4">
        <f>((-1.3890547*(1.3/1.5))*0.6)-0.3</f>
        <v>-1.0223084439999999</v>
      </c>
    </row>
    <row r="3598" spans="1:6" x14ac:dyDescent="0.4">
      <c r="A3598" s="4">
        <v>3146.5302999999999</v>
      </c>
      <c r="B3598" s="4">
        <v>1.4201201000000001</v>
      </c>
      <c r="C3598" s="4">
        <v>1.4410483000000001</v>
      </c>
      <c r="D3598" s="4">
        <v>-30.655687</v>
      </c>
      <c r="E3598" s="4">
        <f>(((((((((-29.9476557/(10/9))+-10.5)+-0.4)*0.98)*1.11)*0.85)-6.5)+3.2)+-0.3)+0.3</f>
        <v>-38.299917800901895</v>
      </c>
      <c r="F3598" s="4">
        <f>((-1.3892298*(1.3/1.5))*0.6)-0.3</f>
        <v>-1.022399496</v>
      </c>
    </row>
    <row r="3599" spans="1:6" x14ac:dyDescent="0.4">
      <c r="A3599" s="4">
        <v>3147.405225</v>
      </c>
      <c r="B3599" s="4">
        <v>1.4202991</v>
      </c>
      <c r="C3599" s="4">
        <v>1.4415034</v>
      </c>
      <c r="D3599" s="4">
        <v>-30.659683999999999</v>
      </c>
      <c r="E3599" s="4">
        <f>(((((((((-29.950821/(10/9))+-10.5)+-0.4)*0.98)*1.11)*0.85)-6.5)+3.2)+-0.3)+0.3</f>
        <v>-38.302551859106998</v>
      </c>
      <c r="F3599" s="4">
        <f>((-1.3894576*(1.3/1.5))*0.6)-0.3</f>
        <v>-1.0225179520000001</v>
      </c>
    </row>
    <row r="3600" spans="1:6" x14ac:dyDescent="0.4">
      <c r="A3600" s="4">
        <v>3148.28015</v>
      </c>
      <c r="B3600" s="4">
        <v>1.4204962000000001</v>
      </c>
      <c r="C3600" s="4">
        <v>1.4415283999999999</v>
      </c>
      <c r="D3600" s="4">
        <v>-30.663675999999999</v>
      </c>
      <c r="E3600" s="4">
        <f>(((((((((-29.9558061/(10/9))+-10.5)+-0.4)*0.98)*1.11)*0.85)-6.5)+3.2)+-0.3)+0.3</f>
        <v>-38.306700294818697</v>
      </c>
      <c r="F3600" s="4">
        <f>((-1.3898774*(1.3/1.5))*0.6)-0.3</f>
        <v>-1.022736248</v>
      </c>
    </row>
    <row r="3601" spans="1:6" x14ac:dyDescent="0.4">
      <c r="A3601" s="4">
        <v>3149.1550750000001</v>
      </c>
      <c r="B3601" s="4">
        <v>1.4204786</v>
      </c>
      <c r="C3601" s="4">
        <v>1.4416504999999999</v>
      </c>
      <c r="D3601" s="4">
        <v>-30.667431999999998</v>
      </c>
      <c r="E3601" s="4">
        <f>(((((((((-29.9545803/(10/9))+-10.5)+-0.4)*0.98)*1.11)*0.85)-6.5)+3.2)+-0.3)+0.3</f>
        <v>-38.305680224510098</v>
      </c>
      <c r="F3601" s="4">
        <f>((-1.3905253*(1.3/1.5))*0.6)-0.3</f>
        <v>-1.0230731559999999</v>
      </c>
    </row>
    <row r="3602" spans="1:6" x14ac:dyDescent="0.4">
      <c r="A3602" s="4">
        <v>3150.03</v>
      </c>
      <c r="B3602" s="4">
        <v>1.4204418999999999</v>
      </c>
      <c r="C3602" s="4">
        <v>1.4419667</v>
      </c>
      <c r="D3602" s="4">
        <v>-30.670915000000001</v>
      </c>
      <c r="E3602" s="4">
        <f>(((((((((-29.9428182/(10/9))+-10.5)+-0.4)*0.98)*1.11)*0.85)-6.5)+3.2)+-0.3)+0.3</f>
        <v>-38.2958921930394</v>
      </c>
      <c r="F3602" s="4">
        <f>((-1.3912929*(1.3/1.5))*0.6)-0.3</f>
        <v>-1.0234723080000001</v>
      </c>
    </row>
    <row r="3603" spans="1:6" x14ac:dyDescent="0.4">
      <c r="A3603" s="4">
        <v>3150.9049249999998</v>
      </c>
      <c r="B3603" s="4">
        <v>1.4207202999999999</v>
      </c>
      <c r="C3603" s="4">
        <v>1.4424045000000001</v>
      </c>
      <c r="D3603" s="4">
        <v>-30.673895999999999</v>
      </c>
      <c r="E3603" s="4">
        <f>(((((((((-29.9681109/(10/9))+-10.5)+-0.4)*0.98)*1.11)*0.85)-6.5)+3.2)+-0.3)+0.3</f>
        <v>-38.316939943320293</v>
      </c>
      <c r="F3603" s="4">
        <f>((-1.3922191*(1.3/1.5))*0.6)-0.3</f>
        <v>-1.023953932</v>
      </c>
    </row>
    <row r="3604" spans="1:6" x14ac:dyDescent="0.4">
      <c r="A3604" s="4">
        <v>3151.7798499999999</v>
      </c>
      <c r="B3604" s="4">
        <v>1.4204793</v>
      </c>
      <c r="C3604" s="4">
        <v>1.4426314</v>
      </c>
      <c r="D3604" s="4">
        <v>-30.676684999999999</v>
      </c>
      <c r="E3604" s="4">
        <f>(((((((((-29.9602665/(10/9))+-10.5)+-0.4)*0.98)*1.11)*0.85)-6.5)+3.2)+-0.3)+0.3</f>
        <v>-38.310412092505494</v>
      </c>
      <c r="F3604" s="4">
        <f>((-1.3933887*(1.3/1.5))*0.6)-0.3</f>
        <v>-1.024562124</v>
      </c>
    </row>
    <row r="3605" spans="1:6" x14ac:dyDescent="0.4">
      <c r="A3605" s="4">
        <v>3152.654775</v>
      </c>
      <c r="B3605" s="4">
        <v>1.4206201000000001</v>
      </c>
      <c r="C3605" s="4">
        <v>1.4429517000000001</v>
      </c>
      <c r="D3605" s="4">
        <v>-30.679365999999998</v>
      </c>
      <c r="E3605" s="4">
        <f>(((((((((-29.9784483/(10/9))+-10.5)+-0.4)*0.98)*1.11)*0.85)-6.5)+3.2)+-0.3)+0.3</f>
        <v>-38.325542386466097</v>
      </c>
      <c r="F3605" s="4">
        <f>((-1.3947945*(1.3/1.5))*0.6)-0.3</f>
        <v>-1.02529314</v>
      </c>
    </row>
    <row r="3606" spans="1:6" x14ac:dyDescent="0.4">
      <c r="A3606" s="4">
        <v>3153.5297</v>
      </c>
      <c r="B3606" s="4">
        <v>1.4207978000000001</v>
      </c>
      <c r="C3606" s="4">
        <v>1.4432753</v>
      </c>
      <c r="D3606" s="4">
        <v>-30.681092</v>
      </c>
      <c r="E3606" s="4">
        <f>(((((((((-29.9654739/(10/9))+-10.5)+-0.4)*0.98)*1.11)*0.85)-6.5)+3.2)+-0.3)+0.3</f>
        <v>-38.314745518941301</v>
      </c>
      <c r="F3606" s="4">
        <f>((-1.3964*(1.3/1.5))*0.6)-0.3</f>
        <v>-1.0261279999999999</v>
      </c>
    </row>
    <row r="3607" spans="1:6" x14ac:dyDescent="0.4">
      <c r="A3607" s="4">
        <v>3154.4046250000001</v>
      </c>
      <c r="B3607" s="4">
        <v>1.4208409</v>
      </c>
      <c r="C3607" s="4">
        <v>1.4431335999999999</v>
      </c>
      <c r="D3607" s="4">
        <v>-30.682876</v>
      </c>
      <c r="E3607" s="4">
        <f>(((((((((-29.9607498/(10/9))+-10.5)+-0.4)*0.98)*1.11)*0.85)-6.5)+3.2)+-0.3)+0.3</f>
        <v>-38.310814278816594</v>
      </c>
      <c r="F3607" s="4">
        <f>((-1.3981107*(1.3/1.5))*0.6)-0.3</f>
        <v>-1.0270175639999999</v>
      </c>
    </row>
    <row r="3608" spans="1:6" x14ac:dyDescent="0.4">
      <c r="A3608" s="4">
        <v>3155.2795499999997</v>
      </c>
      <c r="B3608" s="4">
        <v>1.4209912</v>
      </c>
      <c r="C3608" s="4">
        <v>1.4428903</v>
      </c>
      <c r="D3608" s="4">
        <v>-30.6846</v>
      </c>
      <c r="E3608" s="4">
        <f>(((((((((-29.9560878/(10/9))+-10.5)+-0.4)*0.98)*1.11)*0.85)-6.5)+3.2)+-0.3)+0.3</f>
        <v>-38.306934716262596</v>
      </c>
      <c r="F3608" s="4">
        <f>((-1.4000127*(1.3/1.5))*0.6)-0.3</f>
        <v>-1.028006604</v>
      </c>
    </row>
    <row r="3609" spans="1:6" x14ac:dyDescent="0.4">
      <c r="A3609" s="4">
        <v>3156.1544750000003</v>
      </c>
      <c r="B3609" s="4">
        <v>1.4209206999999999</v>
      </c>
      <c r="C3609" s="4">
        <v>1.4430596</v>
      </c>
      <c r="D3609" s="4">
        <v>-30.686209999999999</v>
      </c>
      <c r="E3609" s="4">
        <f>(((((((((-29.9500623/(10/9))+-10.5)+-0.4)*0.98)*1.11)*0.85)-6.5)+3.2)+-0.3)+0.3</f>
        <v>-38.301920494004101</v>
      </c>
      <c r="F3609" s="4">
        <f>((-1.4020482*(1.3/1.5))*0.6)-0.3</f>
        <v>-1.0290650640000001</v>
      </c>
    </row>
    <row r="3610" spans="1:6" x14ac:dyDescent="0.4">
      <c r="A3610" s="4">
        <v>3157.0293999999999</v>
      </c>
      <c r="B3610" s="4">
        <v>1.421106</v>
      </c>
      <c r="C3610" s="4">
        <v>1.4433144</v>
      </c>
      <c r="D3610" s="4">
        <v>-30.687504999999998</v>
      </c>
      <c r="E3610" s="4">
        <f>(((((((((-29.9733534/(10/9))+-10.5)+-0.4)*0.98)*1.11)*0.85)-6.5)+3.2)+-0.3)+0.3</f>
        <v>-38.3213025788178</v>
      </c>
      <c r="F3610" s="4">
        <f>((-1.4041425*(1.3/1.5))*0.6)-0.3</f>
        <v>-1.0301541000000001</v>
      </c>
    </row>
    <row r="3611" spans="1:6" x14ac:dyDescent="0.4">
      <c r="A3611" s="4">
        <v>3157.904325</v>
      </c>
      <c r="B3611" s="4">
        <v>1.421003</v>
      </c>
      <c r="C3611" s="4">
        <v>1.4430438000000001</v>
      </c>
      <c r="D3611" s="4">
        <v>-30.688161000000001</v>
      </c>
      <c r="E3611" s="4">
        <f>(((((((((-29.984652/(10/9))+-10.5)+-0.4)*0.98)*1.11)*0.85)-6.5)+3.2)+-0.3)+0.3</f>
        <v>-38.330704900883994</v>
      </c>
      <c r="F3611" s="4">
        <f>((-1.406389*(1.3/1.5))*0.6)-0.3</f>
        <v>-1.0313222799999999</v>
      </c>
    </row>
    <row r="3612" spans="1:6" x14ac:dyDescent="0.4">
      <c r="A3612" s="4">
        <v>3158.77925</v>
      </c>
      <c r="B3612" s="4">
        <v>1.4214313999999999</v>
      </c>
      <c r="C3612" s="4">
        <v>1.4432988</v>
      </c>
      <c r="D3612" s="4">
        <v>-30.688715999999999</v>
      </c>
      <c r="E3612" s="4">
        <f>(((((((((-29.9513331/(10/9))+-10.5)+-0.4)*0.98)*1.11)*0.85)-6.5)+3.2)+-0.3)+0.3</f>
        <v>-38.302978011827697</v>
      </c>
      <c r="F3612" s="4">
        <f>((-1.4087982*(1.3/1.5))*0.6)-0.3</f>
        <v>-1.032575064</v>
      </c>
    </row>
    <row r="3613" spans="1:6" x14ac:dyDescent="0.4">
      <c r="A3613" s="4">
        <v>3159.6541749999997</v>
      </c>
      <c r="B3613" s="4">
        <v>1.4211678999999999</v>
      </c>
      <c r="C3613" s="4">
        <v>1.4434496000000001</v>
      </c>
      <c r="D3613" s="4">
        <v>-30.689149</v>
      </c>
      <c r="E3613" s="4">
        <f>(((((((((-29.991375/(10/9))+-10.5)+-0.4)*0.98)*1.11)*0.85)-6.5)+3.2)+-0.3)+0.3</f>
        <v>-38.336299559624997</v>
      </c>
      <c r="F3613" s="4">
        <f>((-1.4113573*(1.3/1.5))*0.6)-0.3</f>
        <v>-1.033905796</v>
      </c>
    </row>
    <row r="3614" spans="1:6" x14ac:dyDescent="0.4">
      <c r="A3614" s="4">
        <v>3160.5291000000002</v>
      </c>
      <c r="B3614" s="4">
        <v>1.4216062</v>
      </c>
      <c r="C3614" s="4">
        <v>1.4435872000000001</v>
      </c>
      <c r="D3614" s="4">
        <v>-30.689138</v>
      </c>
      <c r="E3614" s="4">
        <f>(((((((((-29.9897613/(10/9))+-10.5)+-0.4)*0.98)*1.11)*0.85)-6.5)+3.2)+-0.3)+0.3</f>
        <v>-38.334956691737098</v>
      </c>
      <c r="F3614" s="4">
        <f>((-1.4140439*(1.3/1.5))*0.6)-0.3</f>
        <v>-1.0353028280000001</v>
      </c>
    </row>
    <row r="3615" spans="1:6" x14ac:dyDescent="0.4">
      <c r="A3615" s="4">
        <v>3161.4040249999998</v>
      </c>
      <c r="B3615" s="4">
        <v>1.4213651</v>
      </c>
      <c r="C3615" s="4">
        <v>1.4436652999999999</v>
      </c>
      <c r="D3615" s="4">
        <v>-30.689337999999999</v>
      </c>
      <c r="E3615" s="4">
        <f>(((((((((-29.993211/(10/9))+-10.5)+-0.4)*0.98)*1.11)*0.85)-6.5)+3.2)+-0.3)+0.3</f>
        <v>-38.337827418236991</v>
      </c>
      <c r="F3615" s="4">
        <f>((-1.4168609*(1.3/1.5))*0.6)-0.3</f>
        <v>-1.036767668</v>
      </c>
    </row>
    <row r="3616" spans="1:6" x14ac:dyDescent="0.4">
      <c r="A3616" s="4">
        <v>3162.2789500000003</v>
      </c>
      <c r="B3616" s="4">
        <v>1.4212488999999999</v>
      </c>
      <c r="C3616" s="4">
        <v>1.4443519</v>
      </c>
      <c r="D3616" s="4">
        <v>-30.688848</v>
      </c>
      <c r="E3616" s="4">
        <f>(((((((((-29.9741499/(10/9))+-10.5)+-0.4)*0.98)*1.11)*0.85)-6.5)+3.2)+-0.3)+0.3</f>
        <v>-38.321965399833303</v>
      </c>
      <c r="F3616" s="4">
        <f>((-1.4197917*(1.3/1.5))*0.6)-0.3</f>
        <v>-1.038291684</v>
      </c>
    </row>
    <row r="3617" spans="1:6" x14ac:dyDescent="0.4">
      <c r="A3617" s="4">
        <v>3163.153875</v>
      </c>
      <c r="B3617" s="4">
        <v>1.421567</v>
      </c>
      <c r="C3617" s="4">
        <v>1.4443345000000001</v>
      </c>
      <c r="D3617" s="4">
        <v>-30.688202999999998</v>
      </c>
      <c r="E3617" s="4">
        <f>(((((((((-30.0007539/(10/9))+-10.5)+-0.4)*0.98)*1.11)*0.85)-6.5)+3.2)+-0.3)+0.3</f>
        <v>-38.344104370701295</v>
      </c>
      <c r="F3617" s="4">
        <f>((-1.4226992*(1.3/1.5))*0.6)-0.3</f>
        <v>-1.0398035839999999</v>
      </c>
    </row>
    <row r="3618" spans="1:6" x14ac:dyDescent="0.4">
      <c r="A3618" s="4">
        <v>3164.0287999999996</v>
      </c>
      <c r="B3618" s="4">
        <v>1.4214709000000001</v>
      </c>
      <c r="C3618" s="4">
        <v>1.4441268</v>
      </c>
      <c r="D3618" s="4">
        <v>-30.686729</v>
      </c>
      <c r="E3618" s="4">
        <f>(((((((((-30.0140235/(10/9))+-10.5)+-0.4)*0.98)*1.11)*0.85)-6.5)+3.2)+-0.3)+0.3</f>
        <v>-38.355146893924498</v>
      </c>
      <c r="F3618" s="4">
        <f>((-1.4256644*(1.3/1.5))*0.6)-0.3</f>
        <v>-1.0413454879999999</v>
      </c>
    </row>
    <row r="3619" spans="1:6" x14ac:dyDescent="0.4">
      <c r="A3619" s="4">
        <v>3164.9037250000001</v>
      </c>
      <c r="B3619" s="4">
        <v>1.4213098</v>
      </c>
      <c r="C3619" s="4">
        <v>1.444267</v>
      </c>
      <c r="D3619" s="4">
        <v>-30.685421999999999</v>
      </c>
      <c r="E3619" s="4">
        <f>(((((((((-30.0115314/(10/9))+-10.5)+-0.4)*0.98)*1.11)*0.85)-6.5)+3.2)+-0.3)+0.3</f>
        <v>-38.353073050543792</v>
      </c>
      <c r="F3619" s="4">
        <f>((-1.4286873*(1.3/1.5))*0.6)-0.3</f>
        <v>-1.042917396</v>
      </c>
    </row>
    <row r="3620" spans="1:6" x14ac:dyDescent="0.4">
      <c r="A3620" s="4">
        <v>3165.7786499999997</v>
      </c>
      <c r="B3620" s="4">
        <v>1.4218427</v>
      </c>
      <c r="C3620" s="4">
        <v>1.4449483999999999</v>
      </c>
      <c r="D3620" s="4">
        <v>-30.683775999999998</v>
      </c>
      <c r="E3620" s="4">
        <f>(((((((((-30.0359241/(10/9))+-10.5)+-0.4)*0.98)*1.11)*0.85)-6.5)+3.2)+-0.3)+0.3</f>
        <v>-38.373371850524698</v>
      </c>
      <c r="F3620" s="4">
        <f>((-1.4317961*(1.3/1.5))*0.6)-0.3</f>
        <v>-1.044533972</v>
      </c>
    </row>
    <row r="3621" spans="1:6" x14ac:dyDescent="0.4">
      <c r="A3621" s="4">
        <v>3166.6535750000003</v>
      </c>
      <c r="B3621" s="4">
        <v>1.4218123</v>
      </c>
      <c r="C3621" s="4">
        <v>1.4451890000000001</v>
      </c>
      <c r="D3621" s="4">
        <v>-30.681867</v>
      </c>
      <c r="E3621" s="4">
        <f>(((((((((-30.0210687/(10/9))+-10.5)+-0.4)*0.98)*1.11)*0.85)-6.5)+3.2)+-0.3)+0.3</f>
        <v>-38.361009676872889</v>
      </c>
      <c r="F3621" s="4">
        <f>((-1.4349098*(1.3/1.5))*0.6)-0.3</f>
        <v>-1.0461530960000001</v>
      </c>
    </row>
    <row r="3622" spans="1:6" x14ac:dyDescent="0.4">
      <c r="A3622" s="4">
        <v>3167.5284999999999</v>
      </c>
      <c r="B3622" s="4">
        <v>1.4220755</v>
      </c>
      <c r="C3622" s="4">
        <v>1.4449131</v>
      </c>
      <c r="D3622" s="4">
        <v>-30.679615999999999</v>
      </c>
      <c r="E3622" s="4">
        <f>(((((((((-29.9970432/(10/9))+-10.5)+-0.4)*0.98)*1.11)*0.85)-6.5)+3.2)+-0.3)+0.3</f>
        <v>-38.341016448614397</v>
      </c>
      <c r="F3622" s="4">
        <f>((-1.4380293*(1.3/1.5))*0.6)-0.3</f>
        <v>-1.0477752359999999</v>
      </c>
    </row>
    <row r="3623" spans="1:6" x14ac:dyDescent="0.4">
      <c r="A3623" s="4">
        <v>3168.403425</v>
      </c>
      <c r="B3623" s="4">
        <v>1.4219525</v>
      </c>
      <c r="C3623" s="4">
        <v>1.4452152</v>
      </c>
      <c r="D3623" s="4">
        <v>-30.677160000000001</v>
      </c>
      <c r="E3623" s="4">
        <f>(((((((((-30.0069549/(10/9))+-10.5)+-0.4)*0.98)*1.11)*0.85)-6.5)+3.2)+-0.3)+0.3</f>
        <v>-38.349264638268302</v>
      </c>
      <c r="F3623" s="4">
        <f>((-1.4411848*(1.3/1.5))*0.6)-0.3</f>
        <v>-1.0494160959999999</v>
      </c>
    </row>
    <row r="3624" spans="1:6" x14ac:dyDescent="0.4">
      <c r="A3624" s="4">
        <v>3169.27835</v>
      </c>
      <c r="B3624" s="4">
        <v>1.4224123</v>
      </c>
      <c r="C3624" s="4">
        <v>1.4453442000000001</v>
      </c>
      <c r="D3624" s="4">
        <v>-30.674240999999999</v>
      </c>
      <c r="E3624" s="4">
        <f>(((((((((-30.0219786/(10/9))+-10.5)+-0.4)*0.98)*1.11)*0.85)-6.5)+3.2)+-0.3)+0.3</f>
        <v>-38.361766865626201</v>
      </c>
      <c r="F3624" s="4">
        <f>((-1.4443113*(1.3/1.5))*0.6)-0.3</f>
        <v>-1.051041876</v>
      </c>
    </row>
    <row r="3625" spans="1:6" x14ac:dyDescent="0.4">
      <c r="A3625" s="4">
        <v>3170.1532750000001</v>
      </c>
      <c r="B3625" s="4">
        <v>1.4223026999999999</v>
      </c>
      <c r="C3625" s="4">
        <v>1.4458188999999999</v>
      </c>
      <c r="D3625" s="4">
        <v>-30.671389999999999</v>
      </c>
      <c r="E3625" s="4">
        <f>(((((((((-30.0375099/(10/9))+-10.5)+-0.4)*0.98)*1.11)*0.85)-6.5)+3.2)+-0.3)+0.3</f>
        <v>-38.374691500953304</v>
      </c>
      <c r="F3625" s="4">
        <f>((-1.4474251*(1.3/1.5))*0.6)-0.3</f>
        <v>-1.0526610519999999</v>
      </c>
    </row>
    <row r="3626" spans="1:6" x14ac:dyDescent="0.4">
      <c r="A3626" s="4">
        <v>3171.0282000000002</v>
      </c>
      <c r="B3626" s="4">
        <v>1.4221009</v>
      </c>
      <c r="C3626" s="4">
        <v>1.4454825</v>
      </c>
      <c r="D3626" s="4">
        <v>-30.668323000000001</v>
      </c>
      <c r="E3626" s="4">
        <f>(((((((((-30.0237084/(10/9))+-10.5)+-0.4)*0.98)*1.11)*0.85)-6.5)+3.2)+-0.3)+0.3</f>
        <v>-38.3632063481028</v>
      </c>
      <c r="F3626" s="4">
        <f>((-1.4505427*(1.3/1.5))*0.6)-0.3</f>
        <v>-1.0542822039999999</v>
      </c>
    </row>
    <row r="3627" spans="1:6" x14ac:dyDescent="0.4">
      <c r="A3627" s="4">
        <v>3171.9031249999998</v>
      </c>
      <c r="B3627" s="4">
        <v>1.4223264</v>
      </c>
      <c r="C3627" s="4">
        <v>1.4453031999999999</v>
      </c>
      <c r="D3627" s="4">
        <v>-30.664892999999999</v>
      </c>
      <c r="E3627" s="4">
        <f>(((((((((-30.0726117/(10/9))+-10.5)+-0.4)*0.98)*1.11)*0.85)-6.5)+3.2)+-0.3)+0.3</f>
        <v>-38.403902060553897</v>
      </c>
      <c r="F3627" s="4">
        <f>((-1.4536335*(1.3/1.5))*0.6)-0.3</f>
        <v>-1.05588942</v>
      </c>
    </row>
    <row r="3628" spans="1:6" x14ac:dyDescent="0.4">
      <c r="A3628" s="4">
        <v>3172.7780499999999</v>
      </c>
      <c r="B3628" s="4">
        <v>1.4223261</v>
      </c>
      <c r="C3628" s="4">
        <v>1.4451668</v>
      </c>
      <c r="D3628" s="4">
        <v>-30.661359000000001</v>
      </c>
      <c r="E3628" s="4">
        <f>(((((((((-30.0461418/(10/9))+-10.5)+-0.4)*0.98)*1.11)*0.85)-6.5)+3.2)+-0.3)+0.3</f>
        <v>-38.381874683280593</v>
      </c>
      <c r="F3628" s="4">
        <f>((-1.4566588*(1.3/1.5))*0.6)-0.3</f>
        <v>-1.057462576</v>
      </c>
    </row>
    <row r="3629" spans="1:6" x14ac:dyDescent="0.4">
      <c r="A3629" s="4">
        <v>3173.652975</v>
      </c>
      <c r="B3629" s="4">
        <v>1.4223109</v>
      </c>
      <c r="C3629" s="4">
        <v>1.4447806000000001</v>
      </c>
      <c r="D3629" s="4">
        <v>-30.65747</v>
      </c>
      <c r="E3629" s="4">
        <f>(((((((((-30.0643344/(10/9))+-10.5)+-0.4)*0.98)*1.11)*0.85)-6.5)+3.2)+-0.3)+0.3</f>
        <v>-38.397013964644792</v>
      </c>
      <c r="F3629" s="4">
        <f>((-1.4596958*(1.3/1.5))*0.6)-0.3</f>
        <v>-1.0590418159999999</v>
      </c>
    </row>
    <row r="3630" spans="1:6" x14ac:dyDescent="0.4">
      <c r="A3630" s="4">
        <v>3174.5279</v>
      </c>
      <c r="B3630" s="4">
        <v>1.4224931999999999</v>
      </c>
      <c r="C3630" s="4">
        <v>1.4453472000000001</v>
      </c>
      <c r="D3630" s="4">
        <v>-30.653499</v>
      </c>
      <c r="E3630" s="4">
        <f>(((((((((-30.078252/(10/9))+-10.5)+-0.4)*0.98)*1.11)*0.85)-6.5)+3.2)+-0.3)+0.3</f>
        <v>-38.408595732083988</v>
      </c>
      <c r="F3630" s="4">
        <f>((-1.4627148*(1.3/1.5))*0.6)-0.3</f>
        <v>-1.060611696</v>
      </c>
    </row>
    <row r="3631" spans="1:6" x14ac:dyDescent="0.4">
      <c r="A3631" s="4">
        <v>3175.4028250000001</v>
      </c>
      <c r="B3631" s="4">
        <v>1.4224545</v>
      </c>
      <c r="C3631" s="4">
        <v>1.4450356</v>
      </c>
      <c r="D3631" s="4">
        <v>-30.649328999999998</v>
      </c>
      <c r="E3631" s="4">
        <f>(((((((((-30.0609837/(10/9))+-10.5)+-0.4)*0.98)*1.11)*0.85)-6.5)+3.2)+-0.3)+0.3</f>
        <v>-38.394225622677901</v>
      </c>
      <c r="F3631" s="4">
        <f>((-1.4657152*(1.3/1.5))*0.6)-0.3</f>
        <v>-1.0621719039999999</v>
      </c>
    </row>
    <row r="3632" spans="1:6" x14ac:dyDescent="0.4">
      <c r="A3632" s="4">
        <v>3176.2777500000002</v>
      </c>
      <c r="B3632" s="4">
        <v>1.4225030000000001</v>
      </c>
      <c r="C3632" s="4">
        <v>1.4453256999999999</v>
      </c>
      <c r="D3632" s="4">
        <v>-30.645295000000001</v>
      </c>
      <c r="E3632" s="4">
        <f>(((((((((-30.0865608/(10/9))+-10.5)+-0.4)*0.98)*1.11)*0.85)-6.5)+3.2)+-0.3)+0.3</f>
        <v>-38.415510041253597</v>
      </c>
      <c r="F3632" s="4">
        <f>((-1.4686167*(1.3/1.5))*0.6)-0.3</f>
        <v>-1.0636806839999999</v>
      </c>
    </row>
    <row r="3633" spans="1:6" x14ac:dyDescent="0.4">
      <c r="A3633" s="4">
        <v>3177.1526749999998</v>
      </c>
      <c r="B3633" s="4">
        <v>1.4224819</v>
      </c>
      <c r="C3633" s="4">
        <v>1.4453874</v>
      </c>
      <c r="D3633" s="4">
        <v>-30.641176999999999</v>
      </c>
      <c r="E3633" s="4">
        <f>(((((((((-30.0882807/(10/9))+-10.5)+-0.4)*0.98)*1.11)*0.85)-6.5)+3.2)+-0.3)+0.3</f>
        <v>-38.416941285276899</v>
      </c>
      <c r="F3633" s="4">
        <f>((-1.4713924*(1.3/1.5))*0.6)-0.3</f>
        <v>-1.0651240479999999</v>
      </c>
    </row>
    <row r="3634" spans="1:6" x14ac:dyDescent="0.4">
      <c r="A3634" s="4">
        <v>3178.0275999999999</v>
      </c>
      <c r="B3634" s="4">
        <v>1.4226536999999999</v>
      </c>
      <c r="C3634" s="4">
        <v>1.4458120000000001</v>
      </c>
      <c r="D3634" s="4">
        <v>-30.636958</v>
      </c>
      <c r="E3634" s="4">
        <f>(((((((((-30.1210407/(10/9))+-10.5)+-0.4)*0.98)*1.11)*0.85)-6.5)+3.2)+-0.3)+0.3</f>
        <v>-38.444203076196899</v>
      </c>
      <c r="F3634" s="4">
        <f>((-1.4740812*(1.3/1.5))*0.6)-0.3</f>
        <v>-1.0665222240000001</v>
      </c>
    </row>
    <row r="3635" spans="1:6" x14ac:dyDescent="0.4">
      <c r="A3635" s="4">
        <v>3178.902525</v>
      </c>
      <c r="B3635" s="4">
        <v>1.4228352</v>
      </c>
      <c r="C3635" s="4">
        <v>1.445875</v>
      </c>
      <c r="D3635" s="4">
        <v>-30.632622999999999</v>
      </c>
      <c r="E3635" s="4">
        <f>(((((((((-30.0666312/(10/9))+-10.5)+-0.4)*0.98)*1.11)*0.85)-6.5)+3.2)+-0.3)+0.3</f>
        <v>-38.398925285810392</v>
      </c>
      <c r="F3635" s="4">
        <f>((-1.4767041*(1.3/1.5))*0.6)-0.3</f>
        <v>-1.0678861319999999</v>
      </c>
    </row>
    <row r="3636" spans="1:6" x14ac:dyDescent="0.4">
      <c r="A3636" s="4">
        <v>3179.77745</v>
      </c>
      <c r="B3636" s="4">
        <v>1.4230875999999999</v>
      </c>
      <c r="C3636" s="4">
        <v>1.4456146999999999</v>
      </c>
      <c r="D3636" s="4">
        <v>-30.627976999999998</v>
      </c>
      <c r="E3636" s="4">
        <f>(((((((((-30.130218/(10/9))+-10.5)+-0.4)*0.98)*1.11)*0.85)-6.5)+3.2)+-0.3)+0.3</f>
        <v>-38.451840122405997</v>
      </c>
      <c r="F3636" s="4">
        <f>((-1.4791533*(1.3/1.5))*0.6)-0.3</f>
        <v>-1.0691597159999999</v>
      </c>
    </row>
    <row r="3637" spans="1:6" x14ac:dyDescent="0.4">
      <c r="A3637" s="4">
        <v>3180.6523750000001</v>
      </c>
      <c r="B3637" s="4">
        <v>1.4229643000000001</v>
      </c>
      <c r="C3637" s="4">
        <v>1.445624</v>
      </c>
      <c r="D3637" s="4">
        <v>-30.623203999999998</v>
      </c>
      <c r="E3637" s="4">
        <f>(((((((((-30.1130964/(10/9))+-10.5)+-0.4)*0.98)*1.11)*0.85)-6.5)+3.2)+-0.3)+0.3</f>
        <v>-38.437592091898793</v>
      </c>
      <c r="F3637" s="4">
        <f>((-1.4815201*(1.3/1.5))*0.6)-0.3</f>
        <v>-1.070390452</v>
      </c>
    </row>
    <row r="3638" spans="1:6" x14ac:dyDescent="0.4">
      <c r="A3638" s="4">
        <v>3181.5272999999997</v>
      </c>
      <c r="B3638" s="4">
        <v>1.42302</v>
      </c>
      <c r="C3638" s="4">
        <v>1.4458845</v>
      </c>
      <c r="D3638" s="4">
        <v>-30.618210999999999</v>
      </c>
      <c r="E3638" s="4">
        <f>(((((((((-30.0964455/(10/9))+-10.5)+-0.4)*0.98)*1.11)*0.85)-6.5)+3.2)+-0.3)+0.3</f>
        <v>-38.423735762398493</v>
      </c>
      <c r="F3638" s="4">
        <f>((-1.4837109*(1.3/1.5))*0.6)-0.3</f>
        <v>-1.0715296679999999</v>
      </c>
    </row>
    <row r="3639" spans="1:6" x14ac:dyDescent="0.4">
      <c r="A3639" s="4">
        <v>3182.4022250000003</v>
      </c>
      <c r="B3639" s="4">
        <v>1.4232544</v>
      </c>
      <c r="C3639" s="4">
        <v>1.4459774000000001</v>
      </c>
      <c r="D3639" s="4">
        <v>-30.613160000000001</v>
      </c>
      <c r="E3639" s="4">
        <f>(((((((((-30.0915495/(10/9))+-10.5)+-0.4)*0.98)*1.11)*0.85)-6.5)+3.2)+-0.3)+0.3</f>
        <v>-38.419661472766492</v>
      </c>
      <c r="F3639" s="4">
        <f>((-1.4858594*(1.3/1.5))*0.6)-0.3</f>
        <v>-1.072646888</v>
      </c>
    </row>
    <row r="3640" spans="1:6" x14ac:dyDescent="0.4">
      <c r="A3640" s="4">
        <v>3183.2771499999999</v>
      </c>
      <c r="B3640" s="4">
        <v>1.4231701000000001</v>
      </c>
      <c r="C3640" s="4">
        <v>1.4455648999999999</v>
      </c>
      <c r="D3640" s="4">
        <v>-30.608674000000001</v>
      </c>
      <c r="E3640" s="4">
        <f>(((((((((-30.1070952/(10/9))+-10.5)+-0.4)*0.98)*1.11)*0.85)-6.5)+3.2)+-0.3)+0.3</f>
        <v>-38.432598091298395</v>
      </c>
      <c r="F3640" s="4">
        <f>((-1.4879158*(1.3/1.5))*0.6)-0.3</f>
        <v>-1.0737162159999998</v>
      </c>
    </row>
    <row r="3641" spans="1:6" x14ac:dyDescent="0.4">
      <c r="A3641" s="4">
        <v>3184.152075</v>
      </c>
      <c r="B3641" s="4">
        <v>1.423216</v>
      </c>
      <c r="C3641" s="4">
        <v>1.4453148</v>
      </c>
      <c r="D3641" s="4">
        <v>-30.603390999999998</v>
      </c>
      <c r="E3641" s="4">
        <f>(((((((((-30.1438377/(10/9))+-10.5)+-0.4)*0.98)*1.11)*0.85)-6.5)+3.2)+-0.3)+0.3</f>
        <v>-38.463173987295896</v>
      </c>
      <c r="F3641" s="4">
        <f>((-1.4897456*(1.3/1.5))*0.6)-0.3</f>
        <v>-1.0746677119999999</v>
      </c>
    </row>
    <row r="3642" spans="1:6" x14ac:dyDescent="0.4">
      <c r="A3642" s="4">
        <v>3185.027</v>
      </c>
      <c r="B3642" s="4">
        <v>1.4233138999999999</v>
      </c>
      <c r="C3642" s="4">
        <v>1.4451429</v>
      </c>
      <c r="D3642" s="4">
        <v>-30.598084999999998</v>
      </c>
      <c r="E3642" s="4">
        <f>(((((((((-30.1217274/(10/9))+-10.5)+-0.4)*0.98)*1.11)*0.85)-6.5)+3.2)+-0.3)+0.3</f>
        <v>-38.444774525275797</v>
      </c>
      <c r="F3642" s="4">
        <f>((-1.4915069*(1.3/1.5))*0.6)-0.3</f>
        <v>-1.075583588</v>
      </c>
    </row>
    <row r="3643" spans="1:6" x14ac:dyDescent="0.4">
      <c r="A3643" s="4">
        <v>3185.9019249999997</v>
      </c>
      <c r="B3643" s="4">
        <v>1.4235234999999999</v>
      </c>
      <c r="C3643" s="4">
        <v>1.4454245999999999</v>
      </c>
      <c r="D3643" s="4">
        <v>-30.592790000000001</v>
      </c>
      <c r="E3643" s="4">
        <f>(((((((((-30.1189365/(10/9))+-10.5)+-0.4)*0.98)*1.11)*0.85)-6.5)+3.2)+-0.3)+0.3</f>
        <v>-38.442452030395494</v>
      </c>
      <c r="F3643" s="4">
        <f>((-1.4931784*(1.3/1.5))*0.6)-0.3</f>
        <v>-1.076452768</v>
      </c>
    </row>
    <row r="3644" spans="1:6" x14ac:dyDescent="0.4">
      <c r="A3644" s="4">
        <v>3186.7768500000002</v>
      </c>
      <c r="B3644" s="4">
        <v>1.4235525</v>
      </c>
      <c r="C3644" s="4">
        <v>1.4454899999999999</v>
      </c>
      <c r="D3644" s="4">
        <v>-30.587986999999998</v>
      </c>
      <c r="E3644" s="4">
        <f>(((((((((-30.1132098/(10/9))+-10.5)+-0.4)*0.98)*1.11)*0.85)-6.5)+3.2)+-0.3)+0.3</f>
        <v>-38.437686459636602</v>
      </c>
      <c r="F3644" s="4">
        <f>((-1.4947125*(1.3/1.5))*0.6)-0.3</f>
        <v>-1.0772505000000001</v>
      </c>
    </row>
    <row r="3645" spans="1:6" x14ac:dyDescent="0.4">
      <c r="A3645" s="4">
        <v>3187.6517749999998</v>
      </c>
      <c r="B3645" s="4">
        <v>1.4239006999999999</v>
      </c>
      <c r="C3645" s="4">
        <v>1.4455267999999999</v>
      </c>
      <c r="D3645" s="4">
        <v>-30.583241999999998</v>
      </c>
      <c r="E3645" s="4">
        <f>(((((((((-30.1075965/(10/9))+-10.5)+-0.4)*0.98)*1.11)*0.85)-6.5)+3.2)+-0.3)+0.3</f>
        <v>-38.433015256615498</v>
      </c>
      <c r="F3645" s="4">
        <f>((-1.4960647*(1.3/1.5))*0.6)-0.3</f>
        <v>-1.0779536439999999</v>
      </c>
    </row>
    <row r="3646" spans="1:6" x14ac:dyDescent="0.4">
      <c r="A3646" s="4">
        <v>3188.5267000000003</v>
      </c>
      <c r="B3646" s="4">
        <v>1.4237895</v>
      </c>
      <c r="C3646" s="4">
        <v>1.4458613</v>
      </c>
      <c r="D3646" s="4">
        <v>-30.578710000000001</v>
      </c>
      <c r="E3646" s="4">
        <f>(((((((((-30.1318245/(10/9))+-10.5)+-0.4)*0.98)*1.11)*0.85)-6.5)+3.2)+-0.3)+0.3</f>
        <v>-38.453176998691497</v>
      </c>
      <c r="F3646" s="4">
        <f>((-1.4972087*(1.3/1.5))*0.6)-0.3</f>
        <v>-1.0785485239999999</v>
      </c>
    </row>
    <row r="3647" spans="1:6" x14ac:dyDescent="0.4">
      <c r="A3647" s="4">
        <v>3189.401625</v>
      </c>
      <c r="B3647" s="4">
        <v>1.4235793000000001</v>
      </c>
      <c r="C3647" s="4">
        <v>1.4458648999999999</v>
      </c>
      <c r="D3647" s="4">
        <v>-30.574441</v>
      </c>
      <c r="E3647" s="4">
        <f>(((((((((-30.1252122/(10/9))+-10.5)+-0.4)*0.98)*1.11)*0.85)-6.5)+3.2)+-0.3)+0.3</f>
        <v>-38.447674460837398</v>
      </c>
      <c r="F3647" s="4">
        <f>((-1.4982969*(1.3/1.5))*0.6)-0.3</f>
        <v>-1.0791143879999998</v>
      </c>
    </row>
    <row r="3648" spans="1:6" x14ac:dyDescent="0.4">
      <c r="A3648" s="4">
        <v>3190.2765499999996</v>
      </c>
      <c r="B3648" s="4">
        <v>1.4237659</v>
      </c>
      <c r="C3648" s="4">
        <v>1.4462533</v>
      </c>
      <c r="D3648" s="4">
        <v>-30.570273999999998</v>
      </c>
      <c r="E3648" s="4">
        <f>(((((((((-30.1286727/(10/9))+-10.5)+-0.4)*0.98)*1.11)*0.85)-6.5)+3.2)+-0.3)+0.3</f>
        <v>-38.450554174740894</v>
      </c>
      <c r="F3648" s="4">
        <f>((-1.4991723*(1.3/1.5))*0.6)-0.3</f>
        <v>-1.079569596</v>
      </c>
    </row>
    <row r="3649" spans="1:6" x14ac:dyDescent="0.4">
      <c r="A3649" s="4">
        <v>3191.1514750000001</v>
      </c>
      <c r="B3649" s="4">
        <v>1.4239075000000001</v>
      </c>
      <c r="C3649" s="4">
        <v>1.4457635</v>
      </c>
      <c r="D3649" s="4">
        <v>-30.565908</v>
      </c>
      <c r="E3649" s="4">
        <f>(((((((((-30.1587345/(10/9))+-10.5)+-0.4)*0.98)*1.11)*0.85)-6.5)+3.2)+-0.3)+0.3</f>
        <v>-38.475570612661492</v>
      </c>
      <c r="F3649" s="4">
        <f>((-1.4999657*(1.3/1.5))*0.6)-0.3</f>
        <v>-1.079982164</v>
      </c>
    </row>
    <row r="3650" spans="1:6" x14ac:dyDescent="0.4">
      <c r="A3650" s="4">
        <v>3192.0263999999997</v>
      </c>
      <c r="B3650" s="4">
        <v>1.4239674</v>
      </c>
      <c r="C3650" s="4">
        <v>1.4461364999999999</v>
      </c>
      <c r="D3650" s="4">
        <v>-30.561412000000001</v>
      </c>
      <c r="E3650" s="4">
        <f>(((((((((-30.1562208/(10/9))+-10.5)+-0.4)*0.98)*1.11)*0.85)-6.5)+3.2)+-0.3)+0.3</f>
        <v>-38.4734787944736</v>
      </c>
      <c r="F3650" s="4">
        <f>((-1.5005687*(1.3/1.5))*0.6)-0.3</f>
        <v>-1.080295724</v>
      </c>
    </row>
    <row r="3651" spans="1:6" x14ac:dyDescent="0.4">
      <c r="A3651" s="4">
        <v>3192.9013250000003</v>
      </c>
      <c r="B3651" s="4">
        <v>1.4238199</v>
      </c>
      <c r="C3651" s="4">
        <v>1.446261</v>
      </c>
      <c r="D3651" s="4">
        <v>-30.557390999999999</v>
      </c>
      <c r="E3651" s="4">
        <f>(((((((((-30.1363119/(10/9))+-10.5)+-0.4)*0.98)*1.11)*0.85)-6.5)+3.2)+-0.3)+0.3</f>
        <v>-38.456911264887296</v>
      </c>
      <c r="F3651" s="4">
        <f>((-1.5010517*(1.3/1.5))*0.6)-0.3</f>
        <v>-1.0805468840000001</v>
      </c>
    </row>
    <row r="3652" spans="1:6" x14ac:dyDescent="0.4">
      <c r="A3652" s="4">
        <v>3193.7762499999999</v>
      </c>
      <c r="B3652" s="4">
        <v>1.4240221</v>
      </c>
      <c r="C3652" s="4">
        <v>1.4459473</v>
      </c>
      <c r="D3652" s="4">
        <v>-30.553740999999999</v>
      </c>
      <c r="E3652" s="4">
        <f>(((((((((-30.1212639/(10/9))+-10.5)+-0.4)*0.98)*1.11)*0.85)-6.5)+3.2)+-0.3)+0.3</f>
        <v>-38.444388815871292</v>
      </c>
      <c r="F3652" s="4">
        <f>((-1.5014616*(1.3/1.5))*0.6)-0.3</f>
        <v>-1.0807600319999999</v>
      </c>
    </row>
    <row r="3653" spans="1:6" x14ac:dyDescent="0.4">
      <c r="A3653" s="4">
        <v>3194.651175</v>
      </c>
      <c r="B3653" s="4">
        <v>1.4241006</v>
      </c>
      <c r="C3653" s="4">
        <v>1.4461046</v>
      </c>
      <c r="D3653" s="4">
        <v>-30.550041999999998</v>
      </c>
      <c r="E3653" s="4">
        <f>(((((((((-30.1174119/(10/9))+-10.5)+-0.4)*0.98)*1.11)*0.85)-6.5)+3.2)+-0.3)+0.3</f>
        <v>-38.441183308587291</v>
      </c>
      <c r="F3653" s="4">
        <f>((-1.5017685*(1.3/1.5))*0.6)-0.3</f>
        <v>-1.08091962</v>
      </c>
    </row>
    <row r="3654" spans="1:6" x14ac:dyDescent="0.4">
      <c r="A3654" s="4">
        <v>3195.5261</v>
      </c>
      <c r="B3654" s="4">
        <v>1.4239385</v>
      </c>
      <c r="C3654" s="4">
        <v>1.4459778999999999</v>
      </c>
      <c r="D3654" s="4">
        <v>-30.546908999999999</v>
      </c>
      <c r="E3654" s="4">
        <f>(((((((((-30.1346226/(10/9))+-10.5)+-0.4)*0.98)*1.11)*0.85)-6.5)+3.2)+-0.3)+0.3</f>
        <v>-38.455505485174207</v>
      </c>
      <c r="F3654" s="4">
        <f>((-1.5018392*(1.3/1.5))*0.6)-0.3</f>
        <v>-1.080956384</v>
      </c>
    </row>
    <row r="3655" spans="1:6" x14ac:dyDescent="0.4">
      <c r="A3655" s="4">
        <v>3196.4010250000001</v>
      </c>
      <c r="B3655" s="4">
        <v>1.4240571</v>
      </c>
      <c r="C3655" s="4">
        <v>1.4458762000000001</v>
      </c>
      <c r="D3655" s="4">
        <v>-30.543142</v>
      </c>
      <c r="E3655" s="4">
        <f>(((((((((-30.1256208/(10/9))+-10.5)+-0.4)*0.98)*1.11)*0.85)-6.5)+3.2)+-0.3)+0.3</f>
        <v>-38.448014484273592</v>
      </c>
      <c r="F3655" s="4">
        <f>((-1.5017393*(1.3/1.5))*0.6)-0.3</f>
        <v>-1.080904436</v>
      </c>
    </row>
    <row r="3656" spans="1:6" x14ac:dyDescent="0.4">
      <c r="A3656" s="4">
        <v>3197.2759500000002</v>
      </c>
      <c r="B3656" s="4">
        <v>1.4242808</v>
      </c>
      <c r="C3656" s="4">
        <v>1.4465444999999999</v>
      </c>
      <c r="D3656" s="4">
        <v>-30.539905000000001</v>
      </c>
      <c r="E3656" s="4">
        <f>(((((((((-30.1374999/(10/9))+-10.5)+-0.4)*0.98)*1.11)*0.85)-6.5)+3.2)+-0.3)+0.3</f>
        <v>-38.457899879283296</v>
      </c>
      <c r="F3656" s="4">
        <f>((-1.5015043*(1.3/1.5))*0.6)-0.3</f>
        <v>-1.0807822359999999</v>
      </c>
    </row>
    <row r="3657" spans="1:6" x14ac:dyDescent="0.4">
      <c r="A3657" s="4">
        <v>3198.1508749999998</v>
      </c>
      <c r="B3657" s="4">
        <v>1.4246186000000001</v>
      </c>
      <c r="C3657" s="4">
        <v>1.4466981000000001</v>
      </c>
      <c r="D3657" s="4">
        <v>-30.536778999999999</v>
      </c>
      <c r="E3657" s="4">
        <f>(((((((((-30.1395969/(10/9))+-10.5)+-0.4)*0.98)*1.11)*0.85)-6.5)+3.2)+-0.3)+0.3</f>
        <v>-38.459644933482302</v>
      </c>
      <c r="F3657" s="4">
        <f>((-1.5012251*(1.3/1.5))*0.6)-0.3</f>
        <v>-1.0806370520000002</v>
      </c>
    </row>
    <row r="3658" spans="1:6" x14ac:dyDescent="0.4">
      <c r="A3658" s="4">
        <v>3199.0257999999999</v>
      </c>
      <c r="B3658" s="4">
        <v>1.4246255999999999</v>
      </c>
      <c r="C3658" s="4">
        <v>1.4467089</v>
      </c>
      <c r="D3658" s="4">
        <v>-30.534457</v>
      </c>
      <c r="E3658" s="4">
        <f>(((((((((-30.1134222/(10/9))+-10.5)+-0.4)*0.98)*1.11)*0.85)-6.5)+3.2)+-0.3)+0.3</f>
        <v>-38.437863211907398</v>
      </c>
      <c r="F3658" s="4">
        <f>((-1.5009047*(1.3/1.5))*0.6)-0.3</f>
        <v>-1.0804704439999999</v>
      </c>
    </row>
    <row r="3659" spans="1:6" x14ac:dyDescent="0.4">
      <c r="A3659" s="4">
        <v>3199.900725</v>
      </c>
      <c r="B3659" s="4">
        <v>1.4244893999999999</v>
      </c>
      <c r="C3659" s="4">
        <v>1.4464809999999999</v>
      </c>
      <c r="D3659" s="4">
        <v>-30.532240999999999</v>
      </c>
      <c r="E3659" s="4">
        <f>(((((((((-30.1068891/(10/9))+-10.5)+-0.4)*0.98)*1.11)*0.85)-6.5)+3.2)+-0.3)+0.3</f>
        <v>-38.432426581679692</v>
      </c>
      <c r="F3659" s="4">
        <f>((-1.5004889*(1.3/1.5))*0.6)-0.3</f>
        <v>-1.080254228</v>
      </c>
    </row>
    <row r="3660" spans="1:6" x14ac:dyDescent="0.4">
      <c r="A3660" s="4">
        <v>3200.77565</v>
      </c>
      <c r="B3660" s="4">
        <v>1.4245760000000001</v>
      </c>
      <c r="C3660" s="4">
        <v>1.4462683000000001</v>
      </c>
      <c r="D3660" s="4">
        <v>-30.529992</v>
      </c>
      <c r="E3660" s="4">
        <f>(((((((((-30.153042/(10/9))+-10.5)+-0.4)*0.98)*1.11)*0.85)-6.5)+3.2)+-0.3)+0.3</f>
        <v>-38.470833502014003</v>
      </c>
      <c r="F3660" s="4">
        <f>((-1.4999516*(1.3/1.5))*0.6)-0.3</f>
        <v>-1.079974832</v>
      </c>
    </row>
    <row r="3661" spans="1:6" x14ac:dyDescent="0.4">
      <c r="A3661" s="4">
        <v>3201.6505750000001</v>
      </c>
      <c r="B3661" s="4">
        <v>1.4245223</v>
      </c>
      <c r="C3661" s="4">
        <v>1.4465512</v>
      </c>
      <c r="D3661" s="4">
        <v>-30.528155999999999</v>
      </c>
      <c r="E3661" s="4">
        <f>(((((((((-30.1158567/(10/9))+-10.5)+-0.4)*0.98)*1.11)*0.85)-6.5)+3.2)+-0.3)+0.3</f>
        <v>-38.439889122468891</v>
      </c>
      <c r="F3661" s="4">
        <f>((-1.499379*(1.3/1.5))*0.6)-0.3</f>
        <v>-1.07967708</v>
      </c>
    </row>
    <row r="3662" spans="1:6" x14ac:dyDescent="0.4">
      <c r="A3662" s="4">
        <v>3202.5255000000002</v>
      </c>
      <c r="B3662" s="4">
        <v>1.4245502000000001</v>
      </c>
      <c r="C3662" s="4">
        <v>1.4464602</v>
      </c>
      <c r="D3662" s="4">
        <v>-30.526714999999999</v>
      </c>
      <c r="E3662" s="4">
        <f>(((((((((-30.10383/(10/9))+-10.5)+-0.4)*0.98)*1.11)*0.85)-6.5)+3.2)+-0.3)+0.3</f>
        <v>-38.429880899609991</v>
      </c>
      <c r="F3662" s="4">
        <f>((-1.4987106*(1.3/1.5))*0.6)-0.3</f>
        <v>-1.0793295119999999</v>
      </c>
    </row>
    <row r="3663" spans="1:6" x14ac:dyDescent="0.4">
      <c r="A3663" s="4">
        <v>3203.4004249999998</v>
      </c>
      <c r="B3663" s="4">
        <v>1.4245794000000001</v>
      </c>
      <c r="C3663" s="4">
        <v>1.4467587</v>
      </c>
      <c r="D3663" s="4">
        <v>-30.525700999999998</v>
      </c>
      <c r="E3663" s="4">
        <f>(((((((((-30.1326138/(10/9))+-10.5)+-0.4)*0.98)*1.11)*0.85)-6.5)+3.2)+-0.3)+0.3</f>
        <v>-38.453833828104599</v>
      </c>
      <c r="F3663" s="4">
        <f>((-1.4979719*(1.3/1.5))*0.6)-0.3</f>
        <v>-1.0789453879999999</v>
      </c>
    </row>
    <row r="3664" spans="1:6" x14ac:dyDescent="0.4">
      <c r="A3664" s="4">
        <v>3204.2753499999999</v>
      </c>
      <c r="B3664" s="4">
        <v>1.4246106000000001</v>
      </c>
      <c r="C3664" s="4">
        <v>1.4469639999999999</v>
      </c>
      <c r="D3664" s="4">
        <v>-30.524749</v>
      </c>
      <c r="E3664" s="4">
        <f>(((((((((-30.1243059/(10/9))+-10.5)+-0.4)*0.98)*1.11)*0.85)-6.5)+3.2)+-0.3)+0.3</f>
        <v>-38.446920267885297</v>
      </c>
      <c r="F3664" s="4">
        <f>((-1.4971921*(1.3/1.5))*0.6)-0.3</f>
        <v>-1.078539892</v>
      </c>
    </row>
    <row r="3665" spans="1:6" x14ac:dyDescent="0.4">
      <c r="A3665" s="4">
        <v>3205.150275</v>
      </c>
      <c r="B3665" s="4">
        <v>1.4245532999999999</v>
      </c>
      <c r="C3665" s="4">
        <v>1.4470243</v>
      </c>
      <c r="D3665" s="4">
        <v>-30.524051</v>
      </c>
      <c r="E3665" s="4">
        <f>(((((((((-30.1244535/(10/9))+-10.5)+-0.4)*0.98)*1.11)*0.85)-6.5)+3.2)+-0.3)+0.3</f>
        <v>-38.4470430957345</v>
      </c>
      <c r="F3665" s="4">
        <f>((-1.4963211*(1.3/1.5))*0.6)-0.3</f>
        <v>-1.0780869720000001</v>
      </c>
    </row>
    <row r="3666" spans="1:6" x14ac:dyDescent="0.4">
      <c r="A3666" s="4">
        <v>3206.0252</v>
      </c>
      <c r="B3666" s="4">
        <v>1.4244753999999999</v>
      </c>
      <c r="C3666" s="4">
        <v>1.4468700999999999</v>
      </c>
      <c r="D3666" s="4">
        <v>-30.523440999999998</v>
      </c>
      <c r="E3666" s="4">
        <f>(((((((((-30.1156542/(10/9))+-10.5)+-0.4)*0.98)*1.11)*0.85)-6.5)+3.2)+-0.3)+0.3</f>
        <v>-38.439720608651392</v>
      </c>
      <c r="F3666" s="4">
        <f>((-1.4954731*(1.3/1.5))*0.6)-0.3</f>
        <v>-1.077646012</v>
      </c>
    </row>
    <row r="3667" spans="1:6" x14ac:dyDescent="0.4">
      <c r="A3667" s="4">
        <v>3206.9001250000001</v>
      </c>
      <c r="B3667" s="4">
        <v>1.42486</v>
      </c>
      <c r="C3667" s="4">
        <v>1.4465505999999999</v>
      </c>
      <c r="D3667" s="4">
        <v>-30.523119999999999</v>
      </c>
      <c r="E3667" s="4">
        <f>(((((((((-30.1095054/(10/9))+-10.5)+-0.4)*0.98)*1.11)*0.85)-6.5)+3.2)+-0.3)+0.3</f>
        <v>-38.434603780201797</v>
      </c>
      <c r="F3667" s="4">
        <f>((-1.4945376*(1.3/1.5))*0.6)-0.3</f>
        <v>-1.0771595519999999</v>
      </c>
    </row>
    <row r="3668" spans="1:6" x14ac:dyDescent="0.4">
      <c r="A3668" s="4">
        <v>3207.7750499999997</v>
      </c>
      <c r="B3668" s="4">
        <v>1.4247794</v>
      </c>
      <c r="C3668" s="4">
        <v>1.4459553000000001</v>
      </c>
      <c r="D3668" s="4">
        <v>-30.522676000000001</v>
      </c>
      <c r="E3668" s="4">
        <f>(((((((((-30.0766392/(10/9))+-10.5)+-0.4)*0.98)*1.11)*0.85)-6.5)+3.2)+-0.3)+0.3</f>
        <v>-38.407253613146388</v>
      </c>
      <c r="F3668" s="4">
        <f>((-1.493578*(1.3/1.5))*0.6)-0.3</f>
        <v>-1.0766605600000001</v>
      </c>
    </row>
    <row r="3669" spans="1:6" x14ac:dyDescent="0.4">
      <c r="A3669" s="4">
        <v>3208.6499750000003</v>
      </c>
      <c r="B3669" s="4">
        <v>1.4245652</v>
      </c>
      <c r="C3669" s="4">
        <v>1.4457538000000001</v>
      </c>
      <c r="D3669" s="4">
        <v>-30.522821</v>
      </c>
      <c r="E3669" s="4">
        <f>(((((((((-30.1006782/(10/9))+-10.5)+-0.4)*0.98)*1.11)*0.85)-6.5)+3.2)+-0.3)+0.3</f>
        <v>-38.427258075659402</v>
      </c>
      <c r="F3669" s="4">
        <f>((-1.4925945*(1.3/1.5))*0.6)-0.3</f>
        <v>-1.0761491400000001</v>
      </c>
    </row>
    <row r="3670" spans="1:6" x14ac:dyDescent="0.4">
      <c r="A3670" s="4">
        <v>3209.5248999999999</v>
      </c>
      <c r="B3670" s="4">
        <v>1.4246322</v>
      </c>
      <c r="C3670" s="4">
        <v>1.4453315</v>
      </c>
      <c r="D3670" s="4">
        <v>-30.522994000000001</v>
      </c>
      <c r="E3670" s="4">
        <f>(((((((((-30.1245669/(10/9))+-10.5)+-0.4)*0.98)*1.11)*0.85)-6.5)+3.2)+-0.3)+0.3</f>
        <v>-38.447137463472302</v>
      </c>
      <c r="F3670" s="4">
        <f>((-1.4916021*(1.3/1.5))*0.6)-0.3</f>
        <v>-1.0756330919999999</v>
      </c>
    </row>
    <row r="3671" spans="1:6" x14ac:dyDescent="0.4">
      <c r="A3671" s="4">
        <v>3210.399825</v>
      </c>
      <c r="B3671" s="4">
        <v>1.4249082</v>
      </c>
      <c r="C3671" s="4">
        <v>1.4452653</v>
      </c>
      <c r="D3671" s="4">
        <v>-30.523550999999998</v>
      </c>
      <c r="E3671" s="4">
        <f>(((((((((-30.0987315/(10/9))+-10.5)+-0.4)*0.98)*1.11)*0.85)-6.5)+3.2)+-0.3)+0.3</f>
        <v>-38.42563809616049</v>
      </c>
      <c r="F3671" s="4">
        <f>((-1.490512*(1.3/1.5))*0.6)-0.3</f>
        <v>-1.07506624</v>
      </c>
    </row>
    <row r="3672" spans="1:6" x14ac:dyDescent="0.4">
      <c r="A3672" s="4">
        <v>3211.27475</v>
      </c>
      <c r="B3672" s="4">
        <v>1.4247935</v>
      </c>
      <c r="C3672" s="4">
        <v>1.4452798</v>
      </c>
      <c r="D3672" s="4">
        <v>-30.524222999999999</v>
      </c>
      <c r="E3672" s="4">
        <f>(((((((((-30.1024152/(10/9))+-10.5)+-0.4)*0.98)*1.11)*0.85)-6.5)+3.2)+-0.3)+0.3</f>
        <v>-38.428703549738401</v>
      </c>
      <c r="F3672" s="4">
        <f>((-1.4894575*(1.3/1.5))*0.6)-0.3</f>
        <v>-1.0745179</v>
      </c>
    </row>
    <row r="3673" spans="1:6" x14ac:dyDescent="0.4">
      <c r="A3673" s="4">
        <v>3212.1496749999997</v>
      </c>
      <c r="B3673" s="4">
        <v>1.4246867000000001</v>
      </c>
      <c r="C3673" s="4">
        <v>1.4454224</v>
      </c>
      <c r="D3673" s="4">
        <v>-30.524954999999999</v>
      </c>
      <c r="E3673" s="4">
        <f>(((((((((-30.08448/(10/9))+-10.5)+-0.4)*0.98)*1.11)*0.85)-6.5)+3.2)+-0.3)+0.3</f>
        <v>-38.413778468159997</v>
      </c>
      <c r="F3673" s="4">
        <f>((-1.4884863*(1.3/1.5))*0.6)-0.3</f>
        <v>-1.0740128759999998</v>
      </c>
    </row>
    <row r="3674" spans="1:6" x14ac:dyDescent="0.4">
      <c r="A3674" s="4">
        <v>3213.0246000000002</v>
      </c>
      <c r="B3674" s="4">
        <v>1.4249635</v>
      </c>
      <c r="C3674" s="4">
        <v>1.4451868999999999</v>
      </c>
      <c r="D3674" s="4">
        <v>-30.525821000000001</v>
      </c>
      <c r="E3674" s="4">
        <f>(((((((((-30.0615498/(10/9))+-10.5)+-0.4)*0.98)*1.11)*0.85)-6.5)+3.2)+-0.3)+0.3</f>
        <v>-38.394696712416597</v>
      </c>
      <c r="F3674" s="4">
        <f>((-1.4875121*(1.3/1.5))*0.6)-0.3</f>
        <v>-1.073506292</v>
      </c>
    </row>
    <row r="3675" spans="1:6" x14ac:dyDescent="0.4">
      <c r="A3675" s="4">
        <v>3213.8995249999998</v>
      </c>
      <c r="B3675" s="4">
        <v>1.4251632999999999</v>
      </c>
      <c r="C3675" s="4">
        <v>1.4454619</v>
      </c>
      <c r="D3675" s="4">
        <v>-30.526979000000001</v>
      </c>
      <c r="E3675" s="4">
        <f>(((((((((-30.052647/(10/9))+-10.5)+-0.4)*0.98)*1.11)*0.85)-6.5)+3.2)+-0.3)+0.3</f>
        <v>-38.387288096048991</v>
      </c>
      <c r="F3675" s="4">
        <f>((-1.4865137*(1.3/1.5))*0.6)-0.3</f>
        <v>-1.072987124</v>
      </c>
    </row>
    <row r="3676" spans="1:6" x14ac:dyDescent="0.4">
      <c r="A3676" s="4">
        <v>3214.7744500000003</v>
      </c>
      <c r="B3676" s="4">
        <v>1.4247721</v>
      </c>
      <c r="C3676" s="4">
        <v>1.4454792999999999</v>
      </c>
      <c r="D3676" s="4">
        <v>-30.528108</v>
      </c>
      <c r="E3676" s="4">
        <f>(((((((((-30.067362/(10/9))+-10.5)+-0.4)*0.98)*1.11)*0.85)-6.5)+3.2)+-0.3)+0.3</f>
        <v>-38.399533433453996</v>
      </c>
      <c r="F3676" s="4">
        <f>((-1.4855541*(1.3/1.5))*0.6)-0.3</f>
        <v>-1.0724881320000001</v>
      </c>
    </row>
    <row r="3677" spans="1:6" x14ac:dyDescent="0.4">
      <c r="A3677" s="4">
        <v>3215.649375</v>
      </c>
      <c r="B3677" s="4">
        <v>1.4248829000000001</v>
      </c>
      <c r="C3677" s="4">
        <v>1.4454899999999999</v>
      </c>
      <c r="D3677" s="4">
        <v>-30.529741999999999</v>
      </c>
      <c r="E3677" s="4">
        <f>(((((((((-30.0623913/(10/9))+-10.5)+-0.4)*0.98)*1.11)*0.85)-6.5)+3.2)+-0.3)+0.3</f>
        <v>-38.395396980947105</v>
      </c>
      <c r="F3677" s="4">
        <f>((-1.4846677*(1.3/1.5))*0.6)-0.3</f>
        <v>-1.0720272039999998</v>
      </c>
    </row>
    <row r="3678" spans="1:6" x14ac:dyDescent="0.4">
      <c r="A3678" s="4">
        <v>3216.5243</v>
      </c>
      <c r="B3678" s="4">
        <v>1.4246246</v>
      </c>
      <c r="C3678" s="4">
        <v>1.4462993</v>
      </c>
      <c r="D3678" s="4">
        <v>-30.531568</v>
      </c>
      <c r="E3678" s="4">
        <f>(((((((((-30.0576906/(10/9))+-10.5)+-0.4)*0.98)*1.11)*0.85)-6.5)+3.2)+-0.3)+0.3</f>
        <v>-38.391485213530196</v>
      </c>
      <c r="F3678" s="4">
        <f>((-1.48382*(1.3/1.5))*0.6)-0.3</f>
        <v>-1.0715863999999999</v>
      </c>
    </row>
    <row r="3679" spans="1:6" x14ac:dyDescent="0.4">
      <c r="A3679" s="4">
        <v>3217.3992250000001</v>
      </c>
      <c r="B3679" s="4">
        <v>1.4248726</v>
      </c>
      <c r="C3679" s="4">
        <v>1.4469373000000001</v>
      </c>
      <c r="D3679" s="4">
        <v>-30.533405999999999</v>
      </c>
      <c r="E3679" s="4">
        <f>(((((((((-30.0367278/(10/9))+-10.5)+-0.4)*0.98)*1.11)*0.85)-6.5)+3.2)+-0.3)+0.3</f>
        <v>-38.374040663142594</v>
      </c>
      <c r="F3679" s="4">
        <f>((-1.4830838*(1.3/1.5))*0.6)-0.3</f>
        <v>-1.071203576</v>
      </c>
    </row>
    <row r="3680" spans="1:6" x14ac:dyDescent="0.4">
      <c r="A3680" s="4">
        <v>3218.2741499999997</v>
      </c>
      <c r="B3680" s="4">
        <v>1.4250261</v>
      </c>
      <c r="C3680" s="4">
        <v>1.4473494</v>
      </c>
      <c r="D3680" s="4">
        <v>-30.535174999999999</v>
      </c>
      <c r="E3680" s="4">
        <f>(((((((((-30.0488364/(10/9))+-10.5)+-0.4)*0.98)*1.11)*0.85)-6.5)+3.2)+-0.3)+0.3</f>
        <v>-38.384117040478799</v>
      </c>
      <c r="F3680" s="4">
        <f>((-1.4823725*(1.3/1.5))*0.6)-0.3</f>
        <v>-1.0708336999999999</v>
      </c>
    </row>
    <row r="3681" spans="1:6" x14ac:dyDescent="0.4">
      <c r="A3681" s="4">
        <v>3219.1490750000003</v>
      </c>
      <c r="B3681" s="4">
        <v>1.4247841000000001</v>
      </c>
      <c r="C3681" s="4">
        <v>1.4474301000000001</v>
      </c>
      <c r="D3681" s="4">
        <v>-30.537049</v>
      </c>
      <c r="E3681" s="4">
        <f>(((((((((-30.0498183/(10/9))+-10.5)+-0.4)*0.98)*1.11)*0.85)-6.5)+3.2)+-0.3)+0.3</f>
        <v>-38.384934145256096</v>
      </c>
      <c r="F3681" s="4">
        <f>((-1.4817888*(1.3/1.5))*0.6)-0.3</f>
        <v>-1.0705301759999999</v>
      </c>
    </row>
    <row r="3682" spans="1:6" x14ac:dyDescent="0.4">
      <c r="A3682" s="4">
        <v>3220.0239999999999</v>
      </c>
      <c r="B3682" s="4">
        <v>1.4245847</v>
      </c>
      <c r="C3682" s="4">
        <v>1.4475180999999999</v>
      </c>
      <c r="D3682" s="4">
        <v>-30.539601999999999</v>
      </c>
      <c r="E3682" s="4">
        <f>(((((((((-30.0310047/(10/9))+-10.5)+-0.4)*0.98)*1.11)*0.85)-6.5)+3.2)+-0.3)+0.3</f>
        <v>-38.369278088184899</v>
      </c>
      <c r="F3682" s="4">
        <f>((-1.4812911*(1.3/1.5))*0.6)-0.3</f>
        <v>-1.0702713719999999</v>
      </c>
    </row>
    <row r="3683" spans="1:6" x14ac:dyDescent="0.4">
      <c r="A3683" s="4">
        <v>3220.898925</v>
      </c>
      <c r="B3683" s="4">
        <v>1.4246133999999999</v>
      </c>
      <c r="C3683" s="4">
        <v>1.4473739000000001</v>
      </c>
      <c r="D3683" s="4">
        <v>-30.541723999999999</v>
      </c>
      <c r="E3683" s="4">
        <f>(((((((((-30.0336237/(10/9))+-10.5)+-0.4)*0.98)*1.11)*0.85)-6.5)+3.2)+-0.3)+0.3</f>
        <v>-38.371457533557894</v>
      </c>
      <c r="F3683" s="4">
        <f>((-1.4808446*(1.3/1.5))*0.6)-0.3</f>
        <v>-1.0700391919999999</v>
      </c>
    </row>
    <row r="3684" spans="1:6" x14ac:dyDescent="0.4">
      <c r="A3684" s="4">
        <v>3221.77385</v>
      </c>
      <c r="B3684" s="4">
        <v>1.4245838</v>
      </c>
      <c r="C3684" s="4">
        <v>1.4469000999999999</v>
      </c>
      <c r="D3684" s="4">
        <v>-30.544135000000001</v>
      </c>
      <c r="E3684" s="4">
        <f>(((((((((-30.0448746/(10/9))+-10.5)+-0.4)*0.98)*1.11)*0.85)-6.5)+3.2)+-0.3)+0.3</f>
        <v>-38.3808201612582</v>
      </c>
      <c r="F3684" s="4">
        <f>((-1.4804868*(1.3/1.5))*0.6)-0.3</f>
        <v>-1.0698531359999999</v>
      </c>
    </row>
    <row r="3685" spans="1:6" x14ac:dyDescent="0.4">
      <c r="A3685" s="4">
        <v>3222.6487750000001</v>
      </c>
      <c r="B3685" s="4">
        <v>1.424512</v>
      </c>
      <c r="C3685" s="4">
        <v>1.4468068000000001</v>
      </c>
      <c r="D3685" s="4">
        <v>-30.546440999999998</v>
      </c>
      <c r="E3685" s="4">
        <f>(((((((((-30.0068307/(10/9))+-10.5)+-0.4)*0.98)*1.11)*0.85)-6.5)+3.2)+-0.3)+0.3</f>
        <v>-38.349161283126904</v>
      </c>
      <c r="F3685" s="4">
        <f>((-1.4802382*(1.3/1.5))*0.6)-0.3</f>
        <v>-1.069723864</v>
      </c>
    </row>
    <row r="3686" spans="1:6" x14ac:dyDescent="0.4">
      <c r="A3686" s="4">
        <v>3223.5237000000002</v>
      </c>
      <c r="B3686" s="4">
        <v>1.4246068000000001</v>
      </c>
      <c r="C3686" s="4">
        <v>1.447017</v>
      </c>
      <c r="D3686" s="4">
        <v>-30.549018</v>
      </c>
      <c r="E3686" s="4">
        <f>(((((((((-30.0157677/(10/9))+-10.5)+-0.4)*0.98)*1.11)*0.85)-6.5)+3.2)+-0.3)+0.3</f>
        <v>-38.356598359605897</v>
      </c>
      <c r="F3686" s="4">
        <f>((-1.4802667*(1.3/1.5))*0.6)-0.3</f>
        <v>-1.0697386840000001</v>
      </c>
    </row>
    <row r="3687" spans="1:6" x14ac:dyDescent="0.4">
      <c r="A3687" s="4">
        <v>3224.3986249999998</v>
      </c>
      <c r="B3687" s="4">
        <v>1.4248312999999999</v>
      </c>
      <c r="C3687" s="4">
        <v>1.4465486000000001</v>
      </c>
      <c r="D3687" s="4">
        <v>-30.551155999999999</v>
      </c>
      <c r="E3687" s="4">
        <f>(((((((((-30.0245022/(10/9))+-10.5)+-0.4)*0.98)*1.11)*0.85)-6.5)+3.2)+-0.3)+0.3</f>
        <v>-38.363866922267398</v>
      </c>
      <c r="F3687" s="4">
        <f>((-1.4803816*(1.3/1.5))*0.6)-0.3</f>
        <v>-1.069798432</v>
      </c>
    </row>
    <row r="3688" spans="1:6" x14ac:dyDescent="0.4">
      <c r="A3688" s="4">
        <v>3225.2735499999999</v>
      </c>
      <c r="B3688" s="4">
        <v>1.4247713</v>
      </c>
      <c r="C3688" s="4">
        <v>1.4460284000000001</v>
      </c>
      <c r="D3688" s="4">
        <v>-30.553266000000001</v>
      </c>
      <c r="E3688" s="4">
        <f>(((((((((-30.0263697/(10/9))+-10.5)+-0.4)*0.98)*1.11)*0.85)-6.5)+3.2)+-0.3)+0.3</f>
        <v>-38.365420994139896</v>
      </c>
      <c r="F3688" s="4">
        <f>((-1.4805042*(1.3/1.5))*0.6)-0.3</f>
        <v>-1.069862184</v>
      </c>
    </row>
    <row r="3689" spans="1:6" x14ac:dyDescent="0.4">
      <c r="A3689" s="4">
        <v>3226.148475</v>
      </c>
      <c r="B3689" s="4">
        <v>1.4247932000000001</v>
      </c>
      <c r="C3689" s="4">
        <v>1.4456621000000001</v>
      </c>
      <c r="D3689" s="4">
        <v>-30.555228</v>
      </c>
      <c r="E3689" s="4">
        <f>(((((((((-29.9994669/(10/9))+-10.5)+-0.4)*0.98)*1.11)*0.85)-6.5)+3.2)+-0.3)+0.3</f>
        <v>-38.343033371772293</v>
      </c>
      <c r="F3689" s="4">
        <f>((-1.4806702*(1.3/1.5))*0.6)-0.3</f>
        <v>-1.0699485039999999</v>
      </c>
    </row>
    <row r="3690" spans="1:6" x14ac:dyDescent="0.4">
      <c r="A3690" s="4">
        <v>3227.0234</v>
      </c>
      <c r="B3690" s="4">
        <v>1.4246953</v>
      </c>
      <c r="C3690" s="4">
        <v>1.4459294</v>
      </c>
      <c r="D3690" s="4">
        <v>-30.557548000000001</v>
      </c>
      <c r="E3690" s="4">
        <f>(((((((((-29.9881098/(10/9))+-10.5)+-0.4)*0.98)*1.11)*0.85)-6.5)+3.2)+-0.3)+0.3</f>
        <v>-38.3335823679366</v>
      </c>
      <c r="F3690" s="4">
        <f>((-1.4810209*(1.3/1.5))*0.6)-0.3</f>
        <v>-1.0701308680000001</v>
      </c>
    </row>
    <row r="3691" spans="1:6" x14ac:dyDescent="0.4">
      <c r="A3691" s="4">
        <v>3227.8983250000001</v>
      </c>
      <c r="B3691" s="4">
        <v>1.4246939000000001</v>
      </c>
      <c r="C3691" s="4">
        <v>1.4455632</v>
      </c>
      <c r="D3691" s="4">
        <v>-30.559473999999998</v>
      </c>
      <c r="E3691" s="4">
        <f>(((((((((-29.9774394/(10/9))+-10.5)+-0.4)*0.98)*1.11)*0.85)-6.5)+3.2)+-0.3)+0.3</f>
        <v>-38.32470281317979</v>
      </c>
      <c r="F3691" s="4">
        <f>((-1.4815521*(1.3/1.5))*0.6)-0.3</f>
        <v>-1.0704070919999999</v>
      </c>
    </row>
    <row r="3692" spans="1:6" x14ac:dyDescent="0.4">
      <c r="A3692" s="4">
        <v>3228.7732500000002</v>
      </c>
      <c r="B3692" s="4">
        <v>1.4245110000000001</v>
      </c>
      <c r="C3692" s="4">
        <v>1.4457148</v>
      </c>
      <c r="D3692" s="4">
        <v>-30.561767</v>
      </c>
      <c r="E3692" s="4">
        <f>(((((((((-29.9748744/(10/9))+-10.5)+-0.4)*0.98)*1.11)*0.85)-6.5)+3.2)+-0.3)+0.3</f>
        <v>-38.322568304824799</v>
      </c>
      <c r="F3692" s="4">
        <f>((-1.4821883*(1.3/1.5))*0.6)-0.3</f>
        <v>-1.0707379160000001</v>
      </c>
    </row>
    <row r="3693" spans="1:6" x14ac:dyDescent="0.4">
      <c r="A3693" s="4">
        <v>3229.6481749999998</v>
      </c>
      <c r="B3693" s="4">
        <v>1.4247498999999999</v>
      </c>
      <c r="C3693" s="4">
        <v>1.4451683</v>
      </c>
      <c r="D3693" s="4">
        <v>-30.563217999999999</v>
      </c>
      <c r="E3693" s="4">
        <f>(((((((((-29.9691207/(10/9))+-10.5)+-0.4)*0.98)*1.11)*0.85)-6.5)+3.2)+-0.3)+0.3</f>
        <v>-38.317780265556898</v>
      </c>
      <c r="F3693" s="4">
        <f>((-1.4829062*(1.3/1.5))*0.6)-0.3</f>
        <v>-1.071111224</v>
      </c>
    </row>
    <row r="3694" spans="1:6" x14ac:dyDescent="0.4">
      <c r="A3694" s="4">
        <v>3230.5230999999999</v>
      </c>
      <c r="B3694" s="4">
        <v>1.4247007</v>
      </c>
      <c r="C3694" s="4">
        <v>1.4451368</v>
      </c>
      <c r="D3694" s="4">
        <v>-30.564464000000001</v>
      </c>
      <c r="E3694" s="4">
        <f>(((((((((-29.9961567/(10/9))+-10.5)+-0.4)*0.98)*1.11)*0.85)-6.5)+3.2)+-0.3)+0.3</f>
        <v>-38.340278732568898</v>
      </c>
      <c r="F3694" s="4">
        <f>((-1.4837736*(1.3/1.5))*0.6)-0.3</f>
        <v>-1.071562272</v>
      </c>
    </row>
    <row r="3695" spans="1:6" x14ac:dyDescent="0.4">
      <c r="A3695" s="4">
        <v>3231.398025</v>
      </c>
      <c r="B3695" s="4">
        <v>1.4247608</v>
      </c>
      <c r="C3695" s="4">
        <v>1.4453677</v>
      </c>
      <c r="D3695" s="4">
        <v>-30.565517</v>
      </c>
      <c r="E3695" s="4">
        <f>(((((((((-29.9691819/(10/9))+-10.5)+-0.4)*0.98)*1.11)*0.85)-6.5)+3.2)+-0.3)+0.3</f>
        <v>-38.317831194177288</v>
      </c>
      <c r="F3695" s="4">
        <f>((-1.4847577*(1.3/1.5))*0.6)-0.3</f>
        <v>-1.0720740040000001</v>
      </c>
    </row>
    <row r="3696" spans="1:6" x14ac:dyDescent="0.4">
      <c r="A3696" s="4">
        <v>3232.27295</v>
      </c>
      <c r="B3696" s="4">
        <v>1.4248289000000001</v>
      </c>
      <c r="C3696" s="4">
        <v>1.4448072000000001</v>
      </c>
      <c r="D3696" s="4">
        <v>-30.566538999999999</v>
      </c>
      <c r="E3696" s="4">
        <f>(((((((((-29.9770749/(10/9))+-10.5)+-0.4)*0.98)*1.11)*0.85)-6.5)+3.2)+-0.3)+0.3</f>
        <v>-38.324399488308302</v>
      </c>
      <c r="F3696" s="4">
        <f>((-1.4858619*(1.3/1.5))*0.6)-0.3</f>
        <v>-1.0726481880000001</v>
      </c>
    </row>
    <row r="3697" spans="1:6" x14ac:dyDescent="0.4">
      <c r="A3697" s="4">
        <v>3233.1478750000001</v>
      </c>
      <c r="B3697" s="4">
        <v>1.4248791000000001</v>
      </c>
      <c r="C3697" s="4">
        <v>1.4447091000000001</v>
      </c>
      <c r="D3697" s="4">
        <v>-30.567729</v>
      </c>
      <c r="E3697" s="4">
        <f>(((((((((-29.9611656/(10/9))+-10.5)+-0.4)*0.98)*1.11)*0.85)-6.5)+3.2)+-0.3)+0.3</f>
        <v>-38.311160293855188</v>
      </c>
      <c r="F3697" s="4">
        <f>((-1.4870998*(1.3/1.5))*0.6)-0.3</f>
        <v>-1.073291896</v>
      </c>
    </row>
    <row r="3698" spans="1:6" x14ac:dyDescent="0.4">
      <c r="A3698" s="4">
        <v>3234.0227999999997</v>
      </c>
      <c r="B3698" s="4">
        <v>1.4248375</v>
      </c>
      <c r="C3698" s="4">
        <v>1.4445403000000001</v>
      </c>
      <c r="D3698" s="4">
        <v>-30.568162000000001</v>
      </c>
      <c r="E3698" s="4">
        <f>(((((((((-29.9429352/(10/9))+-10.5)+-0.4)*0.98)*1.11)*0.85)-6.5)+3.2)+-0.3)+0.3</f>
        <v>-38.295989556578391</v>
      </c>
      <c r="F3698" s="4">
        <f>((-1.48838*(1.3/1.5))*0.6)-0.3</f>
        <v>-1.0739576</v>
      </c>
    </row>
    <row r="3699" spans="1:6" x14ac:dyDescent="0.4">
      <c r="A3699" s="4">
        <v>3234.8977250000003</v>
      </c>
      <c r="B3699" s="4">
        <v>1.4244763</v>
      </c>
      <c r="C3699" s="4">
        <v>1.4437333000000001</v>
      </c>
      <c r="D3699" s="4">
        <v>-30.568581999999999</v>
      </c>
      <c r="E3699" s="4">
        <f>(((((((((-29.9535786/(10/9))+-10.5)+-0.4)*0.98)*1.11)*0.85)-6.5)+3.2)+-0.3)+0.3</f>
        <v>-38.304846642826199</v>
      </c>
      <c r="F3699" s="4">
        <f>((-1.4898157*(1.3/1.5))*0.6)-0.3</f>
        <v>-1.0747041640000001</v>
      </c>
    </row>
    <row r="3700" spans="1:6" x14ac:dyDescent="0.4">
      <c r="A3700" s="4">
        <v>3235.7726499999999</v>
      </c>
      <c r="B3700" s="4">
        <v>1.4244181</v>
      </c>
      <c r="C3700" s="4">
        <v>1.4430582999999999</v>
      </c>
      <c r="D3700" s="4">
        <v>-30.568802999999999</v>
      </c>
      <c r="E3700" s="4">
        <f>(((((((((-29.986767/(10/9))+-10.5)+-0.4)*0.98)*1.11)*0.85)-6.5)+3.2)+-0.3)+0.3</f>
        <v>-38.332464934088996</v>
      </c>
      <c r="F3700" s="4">
        <f>((-1.4913911*(1.3/1.5))*0.6)-0.3</f>
        <v>-1.0755233719999999</v>
      </c>
    </row>
    <row r="3701" spans="1:6" x14ac:dyDescent="0.4">
      <c r="A3701" s="4">
        <v>3236.647575</v>
      </c>
      <c r="B3701" s="4">
        <v>1.4244794000000001</v>
      </c>
      <c r="C3701" s="4">
        <v>1.4432144</v>
      </c>
      <c r="D3701" s="4">
        <v>-30.568542000000001</v>
      </c>
      <c r="E3701" s="4">
        <f>(((((((((-29.9690379/(10/9))+-10.5)+-0.4)*0.98)*1.11)*0.85)-6.5)+3.2)+-0.3)+0.3</f>
        <v>-38.317711362129295</v>
      </c>
      <c r="F3701" s="4">
        <f>((-1.492977*(1.3/1.5))*0.6)-0.3</f>
        <v>-1.0763480400000001</v>
      </c>
    </row>
    <row r="3702" spans="1:6" x14ac:dyDescent="0.4">
      <c r="A3702" s="4">
        <v>3237.5225</v>
      </c>
      <c r="B3702" s="4">
        <v>1.4246110999999999</v>
      </c>
      <c r="C3702" s="4">
        <v>1.4430403000000001</v>
      </c>
      <c r="D3702" s="4">
        <v>-30.568232999999999</v>
      </c>
      <c r="E3702" s="4">
        <f>(((((((((-29.9675754/(10/9))+-10.5)+-0.4)*0.98)*1.11)*0.85)-6.5)+3.2)+-0.3)+0.3</f>
        <v>-38.316494317891795</v>
      </c>
      <c r="F3702" s="4">
        <f>((-1.4946511*(1.3/1.5))*0.6)-0.3</f>
        <v>-1.077218572</v>
      </c>
    </row>
    <row r="3703" spans="1:6" x14ac:dyDescent="0.4">
      <c r="A3703" s="4">
        <v>3238.3974249999997</v>
      </c>
      <c r="B3703" s="4">
        <v>1.4244957</v>
      </c>
      <c r="C3703" s="4">
        <v>1.4427654999999999</v>
      </c>
      <c r="D3703" s="4">
        <v>-30.567488999999998</v>
      </c>
      <c r="E3703" s="4">
        <f>(((((((((-29.9721348/(10/9))+-10.5)+-0.4)*0.98)*1.11)*0.85)-6.5)+3.2)+-0.3)+0.3</f>
        <v>-38.320288500111594</v>
      </c>
      <c r="F3703" s="4">
        <f>((-1.4964441*(1.3/1.5))*0.6)-0.3</f>
        <v>-1.078150932</v>
      </c>
    </row>
    <row r="3704" spans="1:6" x14ac:dyDescent="0.4">
      <c r="A3704" s="4">
        <v>3239.2723500000002</v>
      </c>
      <c r="B3704" s="4">
        <v>1.4242934</v>
      </c>
      <c r="C3704" s="4">
        <v>1.4430608</v>
      </c>
      <c r="D3704" s="4">
        <v>-30.566951</v>
      </c>
      <c r="E3704" s="4">
        <f>(((((((((-29.9957283/(10/9))+-10.5)+-0.4)*0.98)*1.11)*0.85)-6.5)+3.2)+-0.3)+0.3</f>
        <v>-38.339922232226094</v>
      </c>
      <c r="F3704" s="4">
        <f>((-1.4983926*(1.3/1.5))*0.6)-0.3</f>
        <v>-1.0791641519999999</v>
      </c>
    </row>
    <row r="3705" spans="1:6" x14ac:dyDescent="0.4">
      <c r="A3705" s="4">
        <v>3240.1472749999998</v>
      </c>
      <c r="B3705" s="4">
        <v>1.4241988999999999</v>
      </c>
      <c r="C3705" s="4">
        <v>1.443087</v>
      </c>
      <c r="D3705" s="4">
        <v>-30.566006999999999</v>
      </c>
      <c r="E3705" s="4">
        <f>(((((((((-29.9688012/(10/9))+-10.5)+-0.4)*0.98)*1.11)*0.85)-6.5)+3.2)+-0.3)+0.3</f>
        <v>-38.317514388200401</v>
      </c>
      <c r="F3705" s="4">
        <f>((-1.5004706*(1.3/1.5))*0.6)-0.3</f>
        <v>-1.0802447120000001</v>
      </c>
    </row>
    <row r="3706" spans="1:6" x14ac:dyDescent="0.4">
      <c r="A3706" s="4">
        <v>3241.0222000000003</v>
      </c>
      <c r="B3706" s="4">
        <v>1.4245102000000001</v>
      </c>
      <c r="C3706" s="4">
        <v>1.4432547</v>
      </c>
      <c r="D3706" s="4">
        <v>-30.564726999999998</v>
      </c>
      <c r="E3706" s="4">
        <f>(((((((((-29.9769309/(10/9))+-10.5)+-0.4)*0.98)*1.11)*0.85)-6.5)+3.2)+-0.3)+0.3</f>
        <v>-38.324279656260295</v>
      </c>
      <c r="F3706" s="4">
        <f>((-1.5026195*(1.3/1.5))*0.6)-0.3</f>
        <v>-1.08136214</v>
      </c>
    </row>
    <row r="3707" spans="1:6" x14ac:dyDescent="0.4">
      <c r="A3707" s="4">
        <v>3241.897125</v>
      </c>
      <c r="B3707" s="4">
        <v>1.4240105000000001</v>
      </c>
      <c r="C3707" s="4">
        <v>1.4437072</v>
      </c>
      <c r="D3707" s="4">
        <v>-30.563048999999999</v>
      </c>
      <c r="E3707" s="4">
        <f>(((((((((-29.9626524/(10/9))+-10.5)+-0.4)*0.98)*1.11)*0.85)-6.5)+3.2)+-0.3)+0.3</f>
        <v>-38.312397559750799</v>
      </c>
      <c r="F3707" s="4">
        <f>((-1.5048282*(1.3/1.5))*0.6)-0.3</f>
        <v>-1.082510664</v>
      </c>
    </row>
    <row r="3708" spans="1:6" x14ac:dyDescent="0.4">
      <c r="A3708" s="4">
        <v>3242.77205</v>
      </c>
      <c r="B3708" s="4">
        <v>1.4243318</v>
      </c>
      <c r="C3708" s="4">
        <v>1.4435619</v>
      </c>
      <c r="D3708" s="4">
        <v>-30.561868</v>
      </c>
      <c r="E3708" s="4">
        <f>(((((((((-29.9427156/(10/9))+-10.5)+-0.4)*0.98)*1.11)*0.85)-6.5)+3.2)+-0.3)+0.3</f>
        <v>-38.295806812705194</v>
      </c>
      <c r="F3708" s="4">
        <f>((-1.5070884*(1.3/1.5))*0.6)-0.3</f>
        <v>-1.0836859679999999</v>
      </c>
    </row>
    <row r="3709" spans="1:6" x14ac:dyDescent="0.4">
      <c r="A3709" s="4">
        <v>3243.6469750000001</v>
      </c>
      <c r="B3709" s="4">
        <v>1.4243766</v>
      </c>
      <c r="C3709" s="4">
        <v>1.4435148</v>
      </c>
      <c r="D3709" s="4">
        <v>-30.559781000000001</v>
      </c>
      <c r="E3709" s="4">
        <f>(((((((((-29.9758977/(10/9))+-10.5)+-0.4)*0.98)*1.11)*0.85)-6.5)+3.2)+-0.3)+0.3</f>
        <v>-38.323419861315898</v>
      </c>
      <c r="F3709" s="4">
        <f>((-1.5093766*(1.3/1.5))*0.6)-0.3</f>
        <v>-1.0848758319999998</v>
      </c>
    </row>
    <row r="3710" spans="1:6" x14ac:dyDescent="0.4">
      <c r="A3710" s="4">
        <v>3244.5218999999997</v>
      </c>
      <c r="B3710" s="4">
        <v>1.4243846</v>
      </c>
      <c r="C3710" s="4">
        <v>1.4434479</v>
      </c>
      <c r="D3710" s="4">
        <v>-30.557938999999998</v>
      </c>
      <c r="E3710" s="4">
        <f>(((((((((-29.9627316/(10/9))+-10.5)+-0.4)*0.98)*1.11)*0.85)-6.5)+3.2)+-0.3)+0.3</f>
        <v>-38.312463467377192</v>
      </c>
      <c r="F3710" s="4">
        <f>((-1.5117017*(1.3/1.5))*0.6)-0.3</f>
        <v>-1.0860848839999999</v>
      </c>
    </row>
    <row r="3711" spans="1:6" x14ac:dyDescent="0.4">
      <c r="A3711" s="4">
        <v>3245.3968250000003</v>
      </c>
      <c r="B3711" s="4">
        <v>1.4246432</v>
      </c>
      <c r="C3711" s="4">
        <v>1.4434644000000001</v>
      </c>
      <c r="D3711" s="4">
        <v>-30.555790999999999</v>
      </c>
      <c r="E3711" s="4">
        <f>(((((((((-29.9723067/(10/9))+-10.5)+-0.4)*0.98)*1.11)*0.85)-6.5)+3.2)+-0.3)+0.3</f>
        <v>-38.320431549618895</v>
      </c>
      <c r="F3711" s="4">
        <f>((-1.5141586*(1.3/1.5))*0.6)-0.3</f>
        <v>-1.0873624719999999</v>
      </c>
    </row>
    <row r="3712" spans="1:6" x14ac:dyDescent="0.4">
      <c r="A3712" s="4">
        <v>3246.2717499999999</v>
      </c>
      <c r="B3712" s="4">
        <v>1.4247664</v>
      </c>
      <c r="C3712" s="4">
        <v>1.4439325000000001</v>
      </c>
      <c r="D3712" s="4">
        <v>-30.553041</v>
      </c>
      <c r="E3712" s="4">
        <f>(((((((((-29.9741157/(10/9))+-10.5)+-0.4)*0.98)*1.11)*0.85)-6.5)+3.2)+-0.3)+0.3</f>
        <v>-38.321936939721894</v>
      </c>
      <c r="F3712" s="4">
        <f>((-1.5165857*(1.3/1.5))*0.6)-0.3</f>
        <v>-1.0886245640000001</v>
      </c>
    </row>
    <row r="3713" spans="1:6" x14ac:dyDescent="0.4">
      <c r="A3713" s="4">
        <v>3247.146675</v>
      </c>
      <c r="B3713" s="4">
        <v>1.4245224000000001</v>
      </c>
      <c r="C3713" s="4">
        <v>1.4440373</v>
      </c>
      <c r="D3713" s="4">
        <v>-30.550138</v>
      </c>
      <c r="E3713" s="4">
        <f>(((((((((-29.9738106/(10/9))+-10.5)+-0.4)*0.98)*1.11)*0.85)-6.5)+3.2)+-0.3)+0.3</f>
        <v>-38.321683045570197</v>
      </c>
      <c r="F3713" s="4">
        <f>((-1.5189902*(1.3/1.5))*0.6)-0.3</f>
        <v>-1.089874904</v>
      </c>
    </row>
    <row r="3714" spans="1:6" x14ac:dyDescent="0.4">
      <c r="A3714" s="4">
        <v>3248.0216</v>
      </c>
      <c r="B3714" s="4">
        <v>1.4240170000000001</v>
      </c>
      <c r="C3714" s="4">
        <v>1.4437314999999999</v>
      </c>
      <c r="D3714" s="4">
        <v>-30.547204000000001</v>
      </c>
      <c r="E3714" s="4">
        <f>(((((((((-29.9976885/(10/9))+-10.5)+-0.4)*0.98)*1.11)*0.85)-6.5)+3.2)+-0.3)+0.3</f>
        <v>-38.341553445979493</v>
      </c>
      <c r="F3714" s="4">
        <f>((-1.521492*(1.3/1.5))*0.6)-0.3</f>
        <v>-1.09117584</v>
      </c>
    </row>
    <row r="3715" spans="1:6" x14ac:dyDescent="0.4">
      <c r="A3715" s="4">
        <v>3248.8965250000001</v>
      </c>
      <c r="B3715" s="4">
        <v>1.4242463999999999</v>
      </c>
      <c r="C3715" s="4">
        <v>1.4441078000000001</v>
      </c>
      <c r="D3715" s="4">
        <v>-30.544167999999999</v>
      </c>
      <c r="E3715" s="4">
        <f>(((((((((-29.9675412/(10/9))+-10.5)+-0.4)*0.98)*1.11)*0.85)-6.5)+3.2)+-0.3)+0.3</f>
        <v>-38.316465857780393</v>
      </c>
      <c r="F3715" s="4">
        <f>((-1.5240136*(1.3/1.5))*0.6)-0.3</f>
        <v>-1.0924870719999999</v>
      </c>
    </row>
    <row r="3716" spans="1:6" x14ac:dyDescent="0.4">
      <c r="A3716" s="4">
        <v>3249.7714500000002</v>
      </c>
      <c r="B3716" s="4">
        <v>1.4242417999999999</v>
      </c>
      <c r="C3716" s="4">
        <v>1.4441221</v>
      </c>
      <c r="D3716" s="4">
        <v>-30.541138999999998</v>
      </c>
      <c r="E3716" s="4">
        <f>(((((((((-29.9624499/(10/9))+-10.5)+-0.4)*0.98)*1.11)*0.85)-6.5)+3.2)+-0.3)+0.3</f>
        <v>-38.3122290459333</v>
      </c>
      <c r="F3716" s="4">
        <f>((-1.5265383*(1.3/1.5))*0.6)-0.3</f>
        <v>-1.0937999159999998</v>
      </c>
    </row>
    <row r="3717" spans="1:6" x14ac:dyDescent="0.4">
      <c r="A3717" s="4">
        <v>3250.6463749999998</v>
      </c>
      <c r="B3717" s="4">
        <v>1.4237673</v>
      </c>
      <c r="C3717" s="4">
        <v>1.4441994</v>
      </c>
      <c r="D3717" s="4">
        <v>-30.537407999999999</v>
      </c>
      <c r="E3717" s="4">
        <f>(((((((((-29.9699892/(10/9))+-10.5)+-0.4)*0.98)*1.11)*0.85)-6.5)+3.2)+-0.3)+0.3</f>
        <v>-38.318503002596401</v>
      </c>
      <c r="F3717" s="4">
        <f>((-1.5290891*(1.3/1.5))*0.6)-0.3</f>
        <v>-1.095126332</v>
      </c>
    </row>
    <row r="3718" spans="1:6" x14ac:dyDescent="0.4">
      <c r="A3718" s="4">
        <v>3251.5212999999999</v>
      </c>
      <c r="B3718" s="4">
        <v>1.4237519999999999</v>
      </c>
      <c r="C3718" s="4">
        <v>1.4441218</v>
      </c>
      <c r="D3718" s="4">
        <v>-30.533549000000001</v>
      </c>
      <c r="E3718" s="4">
        <f>(((((((((-29.9929986/(10/9))+-10.5)+-0.4)*0.98)*1.11)*0.85)-6.5)+3.2)+-0.3)+0.3</f>
        <v>-38.337650665966194</v>
      </c>
      <c r="F3718" s="4">
        <f>((-1.5315878*(1.3/1.5))*0.6)-0.3</f>
        <v>-1.0964256560000001</v>
      </c>
    </row>
    <row r="3719" spans="1:6" x14ac:dyDescent="0.4">
      <c r="A3719" s="4">
        <v>3252.396225</v>
      </c>
      <c r="B3719" s="4">
        <v>1.4239314999999999</v>
      </c>
      <c r="C3719" s="4">
        <v>1.4438850999999999</v>
      </c>
      <c r="D3719" s="4">
        <v>-30.529741999999999</v>
      </c>
      <c r="E3719" s="4">
        <f>(((((((((-29.9996352/(10/9))+-10.5)+-0.4)*0.98)*1.11)*0.85)-6.5)+3.2)+-0.3)+0.3</f>
        <v>-38.343173425478398</v>
      </c>
      <c r="F3719" s="4">
        <f>((-1.5340197*(1.3/1.5))*0.6)-0.3</f>
        <v>-1.097690244</v>
      </c>
    </row>
    <row r="3720" spans="1:6" x14ac:dyDescent="0.4">
      <c r="A3720" s="4">
        <v>3253.27115</v>
      </c>
      <c r="B3720" s="4">
        <v>1.4237652999999999</v>
      </c>
      <c r="C3720" s="4">
        <v>1.4440204000000001</v>
      </c>
      <c r="D3720" s="4">
        <v>-30.525755999999998</v>
      </c>
      <c r="E3720" s="4">
        <f>(((((((((-30.0124962/(10/9))+-10.5)+-0.4)*0.98)*1.11)*0.85)-6.5)+3.2)+-0.3)+0.3</f>
        <v>-38.353875925265399</v>
      </c>
      <c r="F3720" s="4">
        <f>((-1.5364373*(1.3/1.5))*0.6)-0.3</f>
        <v>-1.098947396</v>
      </c>
    </row>
    <row r="3721" spans="1:6" x14ac:dyDescent="0.4">
      <c r="A3721" s="4">
        <v>3254.1460750000001</v>
      </c>
      <c r="B3721" s="4">
        <v>1.4236042</v>
      </c>
      <c r="C3721" s="4">
        <v>1.4436456</v>
      </c>
      <c r="D3721" s="4">
        <v>-30.521819000000001</v>
      </c>
      <c r="E3721" s="4">
        <f>(((((((((-29.9986119/(10/9))+-10.5)+-0.4)*0.98)*1.11)*0.85)-6.5)+3.2)+-0.3)+0.3</f>
        <v>-38.342321868987298</v>
      </c>
      <c r="F3721" s="4">
        <f>((-1.5388336*(1.3/1.5))*0.6)-0.3</f>
        <v>-1.100193472</v>
      </c>
    </row>
    <row r="3722" spans="1:6" x14ac:dyDescent="0.4">
      <c r="A3722" s="4">
        <v>3255.0210000000002</v>
      </c>
      <c r="B3722" s="4">
        <v>1.4236164</v>
      </c>
      <c r="C3722" s="4">
        <v>1.4439652000000001</v>
      </c>
      <c r="D3722" s="4">
        <v>-30.517168999999999</v>
      </c>
      <c r="E3722" s="4">
        <f>(((((((((-30.007521/(10/9))+-10.5)+-0.4)*0.98)*1.11)*0.85)-6.5)+3.2)+-0.3)+0.3</f>
        <v>-38.349735728006998</v>
      </c>
      <c r="F3722" s="4">
        <f>((-1.5411402*(1.3/1.5))*0.6)-0.3</f>
        <v>-1.1013929040000001</v>
      </c>
    </row>
    <row r="3723" spans="1:6" x14ac:dyDescent="0.4">
      <c r="A3723" s="4">
        <v>3255.8959249999998</v>
      </c>
      <c r="B3723" s="4">
        <v>1.4235601</v>
      </c>
      <c r="C3723" s="4">
        <v>1.4440105999999999</v>
      </c>
      <c r="D3723" s="4">
        <v>-30.512982999999998</v>
      </c>
      <c r="E3723" s="4">
        <f>(((((((((-29.9782737/(10/9))+-10.5)+-0.4)*0.98)*1.11)*0.85)-6.5)+3.2)+-0.3)+0.3</f>
        <v>-38.325397090107899</v>
      </c>
      <c r="F3723" s="4">
        <f>((-1.5434259*(1.3/1.5))*0.6)-0.3</f>
        <v>-1.1025814679999999</v>
      </c>
    </row>
    <row r="3724" spans="1:6" x14ac:dyDescent="0.4">
      <c r="A3724" s="4">
        <v>3256.7708499999999</v>
      </c>
      <c r="B3724" s="4">
        <v>1.4236131000000001</v>
      </c>
      <c r="C3724" s="4">
        <v>1.4439541</v>
      </c>
      <c r="D3724" s="4">
        <v>-30.50806</v>
      </c>
      <c r="E3724" s="4">
        <f>(((((((((-30.0374586/(10/9))+-10.5)+-0.4)*0.98)*1.11)*0.85)-6.5)+3.2)+-0.3)+0.3</f>
        <v>-38.374648810786198</v>
      </c>
      <c r="F3724" s="4">
        <f>((-1.5455766*(1.3/1.5))*0.6)-0.3</f>
        <v>-1.103699832</v>
      </c>
    </row>
    <row r="3725" spans="1:6" x14ac:dyDescent="0.4">
      <c r="A3725" s="4">
        <v>3257.645775</v>
      </c>
      <c r="B3725" s="4">
        <v>1.4237626999999999</v>
      </c>
      <c r="C3725" s="4">
        <v>1.4442315999999999</v>
      </c>
      <c r="D3725" s="4">
        <v>-30.503273999999998</v>
      </c>
      <c r="E3725" s="4">
        <f>(((((((((-29.9964285/(10/9))+-10.5)+-0.4)*0.98)*1.11)*0.85)-6.5)+3.2)+-0.3)+0.3</f>
        <v>-38.340504915559499</v>
      </c>
      <c r="F3725" s="4">
        <f>((-1.5476245*(1.3/1.5))*0.6)-0.3</f>
        <v>-1.10476474</v>
      </c>
    </row>
    <row r="3726" spans="1:6" x14ac:dyDescent="0.4">
      <c r="A3726" s="4">
        <v>3258.5207</v>
      </c>
      <c r="B3726" s="4">
        <v>1.4234867</v>
      </c>
      <c r="C3726" s="4">
        <v>1.44428</v>
      </c>
      <c r="D3726" s="4">
        <v>-30.498349000000001</v>
      </c>
      <c r="E3726" s="4">
        <f>(((((((((-29.9888928/(10/9))+-10.5)+-0.4)*0.98)*1.11)*0.85)-6.5)+3.2)+-0.3)+0.3</f>
        <v>-38.334233954697595</v>
      </c>
      <c r="F3726" s="4">
        <f>((-1.5495361*(1.3/1.5))*0.6)-0.3</f>
        <v>-1.1057587719999999</v>
      </c>
    </row>
    <row r="3727" spans="1:6" x14ac:dyDescent="0.4">
      <c r="A3727" s="4">
        <v>3259.3956250000001</v>
      </c>
      <c r="B3727" s="4">
        <v>1.4233195000000001</v>
      </c>
      <c r="C3727" s="4">
        <v>1.4438506</v>
      </c>
      <c r="D3727" s="4">
        <v>-30.493724</v>
      </c>
      <c r="E3727" s="4">
        <f>(((((((((-30.0401298/(10/9))+-10.5)+-0.4)*0.98)*1.11)*0.85)-6.5)+3.2)+-0.3)+0.3</f>
        <v>-38.376871695276591</v>
      </c>
      <c r="F3727" s="4">
        <f>((-1.5513757*(1.3/1.5))*0.6)-0.3</f>
        <v>-1.106715364</v>
      </c>
    </row>
    <row r="3728" spans="1:6" x14ac:dyDescent="0.4">
      <c r="A3728" s="4">
        <v>3260.2705499999997</v>
      </c>
      <c r="B3728" s="4">
        <v>1.4230369</v>
      </c>
      <c r="C3728" s="4">
        <v>1.4433304</v>
      </c>
      <c r="D3728" s="4">
        <v>-30.488562999999999</v>
      </c>
      <c r="E3728" s="4">
        <f>(((((((((-30.0418083/(10/9))+-10.5)+-0.4)*0.98)*1.11)*0.85)-6.5)+3.2)+-0.3)+0.3</f>
        <v>-38.378268487586098</v>
      </c>
      <c r="F3728" s="4">
        <f>((-1.553226*(1.3/1.5))*0.6)-0.3</f>
        <v>-1.10767752</v>
      </c>
    </row>
    <row r="3729" spans="1:6" x14ac:dyDescent="0.4">
      <c r="A3729" s="4">
        <v>3261.1454750000003</v>
      </c>
      <c r="B3729" s="4">
        <v>1.4231379</v>
      </c>
      <c r="C3729" s="4">
        <v>1.4429737</v>
      </c>
      <c r="D3729" s="4">
        <v>-30.483709999999999</v>
      </c>
      <c r="E3729" s="4">
        <f>(((((((((-30.0293253/(10/9))+-10.5)+-0.4)*0.98)*1.11)*0.85)-6.5)+3.2)+-0.3)+0.3</f>
        <v>-38.367880546925093</v>
      </c>
      <c r="F3729" s="4">
        <f>((-1.5550122*(1.3/1.5))*0.6)-0.3</f>
        <v>-1.108606344</v>
      </c>
    </row>
    <row r="3730" spans="1:6" x14ac:dyDescent="0.4">
      <c r="A3730" s="4">
        <v>3262.0203999999999</v>
      </c>
      <c r="B3730" s="4">
        <v>1.4231883999999999</v>
      </c>
      <c r="C3730" s="4">
        <v>1.4431567999999999</v>
      </c>
      <c r="D3730" s="4">
        <v>-30.478687999999998</v>
      </c>
      <c r="E3730" s="4">
        <f>(((((((((-30.0520467/(10/9))+-10.5)+-0.4)*0.98)*1.11)*0.85)-6.5)+3.2)+-0.3)+0.3</f>
        <v>-38.386788546198893</v>
      </c>
      <c r="F3730" s="4">
        <f>((-1.5566823*(1.3/1.5))*0.6)-0.3</f>
        <v>-1.109474796</v>
      </c>
    </row>
    <row r="3731" spans="1:6" x14ac:dyDescent="0.4">
      <c r="A3731" s="4">
        <v>3262.8953250000004</v>
      </c>
      <c r="B3731" s="4">
        <v>1.422912</v>
      </c>
      <c r="C3731" s="4">
        <v>1.4432240999999999</v>
      </c>
      <c r="D3731" s="4">
        <v>-30.473178000000001</v>
      </c>
      <c r="E3731" s="4">
        <f>(((((((((-30.0525957/(10/9))+-10.5)+-0.4)*0.98)*1.11)*0.85)-6.5)+3.2)+-0.3)+0.3</f>
        <v>-38.387245405881899</v>
      </c>
      <c r="F3731" s="4">
        <f>((-1.5581417*(1.3/1.5))*0.6)-0.3</f>
        <v>-1.110233684</v>
      </c>
    </row>
    <row r="3732" spans="1:6" x14ac:dyDescent="0.4">
      <c r="A3732" s="4">
        <v>3263.77025</v>
      </c>
      <c r="B3732" s="4">
        <v>1.4228531</v>
      </c>
      <c r="C3732" s="4">
        <v>1.4432517</v>
      </c>
      <c r="D3732" s="4">
        <v>-30.468021</v>
      </c>
      <c r="E3732" s="4">
        <f>(((((((((-30.0609837/(10/9))+-10.5)+-0.4)*0.98)*1.11)*0.85)-6.5)+3.2)+-0.3)+0.3</f>
        <v>-38.394225622677901</v>
      </c>
      <c r="F3732" s="4">
        <f>((-1.5593743*(1.3/1.5))*0.6)-0.3</f>
        <v>-1.1108746359999999</v>
      </c>
    </row>
    <row r="3733" spans="1:6" x14ac:dyDescent="0.4">
      <c r="A3733" s="4">
        <v>3264.6451749999997</v>
      </c>
      <c r="B3733" s="4">
        <v>1.4230133</v>
      </c>
      <c r="C3733" s="4">
        <v>1.4430753999999999</v>
      </c>
      <c r="D3733" s="4">
        <v>-30.463107000000001</v>
      </c>
      <c r="E3733" s="4">
        <f>(((((((((-30.06432/(10/9))+-10.5)+-0.4)*0.98)*1.11)*0.85)-6.5)+3.2)+-0.3)+0.3</f>
        <v>-38.397001981439992</v>
      </c>
      <c r="F3733" s="4">
        <f>((-1.5604756*(1.3/1.5))*0.6)-0.3</f>
        <v>-1.1114473119999999</v>
      </c>
    </row>
    <row r="3734" spans="1:6" x14ac:dyDescent="0.4">
      <c r="A3734" s="4">
        <v>3265.5201000000002</v>
      </c>
      <c r="B3734" s="4">
        <v>1.4226732</v>
      </c>
      <c r="C3734" s="4">
        <v>1.4435416000000001</v>
      </c>
      <c r="D3734" s="4">
        <v>-30.458113999999998</v>
      </c>
      <c r="E3734" s="4">
        <f>(((((((((-30.0525921/(10/9))+-10.5)+-0.4)*0.98)*1.11)*0.85)-6.5)+3.2)+-0.3)+0.3</f>
        <v>-38.387242410080688</v>
      </c>
      <c r="F3734" s="4">
        <f>((-1.5615089*(1.3/1.5))*0.6)-0.3</f>
        <v>-1.1119846279999999</v>
      </c>
    </row>
    <row r="3735" spans="1:6" x14ac:dyDescent="0.4">
      <c r="A3735" s="4">
        <v>3266.3950249999998</v>
      </c>
      <c r="B3735" s="4">
        <v>1.4226714</v>
      </c>
      <c r="C3735" s="4">
        <v>1.4434054999999999</v>
      </c>
      <c r="D3735" s="4">
        <v>-30.453954</v>
      </c>
      <c r="E3735" s="4">
        <f>(((((((((-30.0533031/(10/9))+-10.5)+-0.4)*0.98)*1.11)*0.85)-6.5)+3.2)+-0.3)+0.3</f>
        <v>-38.387834080817697</v>
      </c>
      <c r="F3735" s="4">
        <f>((-1.5624256*(1.3/1.5))*0.6)-0.3</f>
        <v>-1.112461312</v>
      </c>
    </row>
    <row r="3736" spans="1:6" x14ac:dyDescent="0.4">
      <c r="A3736" s="4">
        <v>3267.2699500000003</v>
      </c>
      <c r="B3736" s="4">
        <v>1.4227433</v>
      </c>
      <c r="C3736" s="4">
        <v>1.4432145000000001</v>
      </c>
      <c r="D3736" s="4">
        <v>-30.449161</v>
      </c>
      <c r="E3736" s="4">
        <f>(((((((((-30.0860424/(10/9))+-10.5)+-0.4)*0.98)*1.11)*0.85)-6.5)+3.2)+-0.3)+0.3</f>
        <v>-38.415078645880797</v>
      </c>
      <c r="F3736" s="4">
        <f>((-1.5632501*(1.3/1.5))*0.6)-0.3</f>
        <v>-1.112890052</v>
      </c>
    </row>
    <row r="3737" spans="1:6" x14ac:dyDescent="0.4">
      <c r="A3737" s="4">
        <v>3268.144875</v>
      </c>
      <c r="B3737" s="4">
        <v>1.4229008999999999</v>
      </c>
      <c r="C3737" s="4">
        <v>1.4427053000000001</v>
      </c>
      <c r="D3737" s="4">
        <v>-30.444393999999999</v>
      </c>
      <c r="E3737" s="4">
        <f>(((((((((-30.0727287/(10/9))+-10.5)+-0.4)*0.98)*1.11)*0.85)-6.5)+3.2)+-0.3)+0.3</f>
        <v>-38.403999424092895</v>
      </c>
      <c r="F3737" s="4">
        <f>((-1.5638727*(1.3/1.5))*0.6)-0.3</f>
        <v>-1.1132138039999999</v>
      </c>
    </row>
    <row r="3738" spans="1:6" x14ac:dyDescent="0.4">
      <c r="A3738" s="4">
        <v>3269.0198</v>
      </c>
      <c r="B3738" s="4">
        <v>1.4225216999999999</v>
      </c>
      <c r="C3738" s="4">
        <v>1.4423973999999999</v>
      </c>
      <c r="D3738" s="4">
        <v>-30.439744000000001</v>
      </c>
      <c r="E3738" s="4">
        <f>(((((((((-30.0892527/(10/9))+-10.5)+-0.4)*0.98)*1.11)*0.85)-6.5)+3.2)+-0.3)+0.3</f>
        <v>-38.417750151600899</v>
      </c>
      <c r="F3738" s="4">
        <f>((-1.5643797*(1.3/1.5))*0.6)-0.3</f>
        <v>-1.1134774439999999</v>
      </c>
    </row>
    <row r="3739" spans="1:6" x14ac:dyDescent="0.4">
      <c r="A3739" s="4">
        <v>3269.8947250000001</v>
      </c>
      <c r="B3739" s="4">
        <v>1.422336</v>
      </c>
      <c r="C3739" s="4">
        <v>1.4425462</v>
      </c>
      <c r="D3739" s="4">
        <v>-30.435558999999998</v>
      </c>
      <c r="E3739" s="4">
        <f>(((((((((-30.0918276/(10/9))+-10.5)+-0.4)*0.98)*1.11)*0.85)-6.5)+3.2)+-0.3)+0.3</f>
        <v>-38.419892898409202</v>
      </c>
      <c r="F3739" s="4">
        <f>((-1.5647187*(1.3/1.5))*0.6)-0.3</f>
        <v>-1.113653724</v>
      </c>
    </row>
    <row r="3740" spans="1:6" x14ac:dyDescent="0.4">
      <c r="A3740" s="4">
        <v>3270.7696499999997</v>
      </c>
      <c r="B3740" s="4">
        <v>1.4219196999999999</v>
      </c>
      <c r="C3740" s="4">
        <v>1.4430480000000001</v>
      </c>
      <c r="D3740" s="4">
        <v>-30.431172999999998</v>
      </c>
      <c r="E3740" s="4">
        <f>(((((((((-30.0823551/(10/9))+-10.5)+-0.4)*0.98)*1.11)*0.85)-6.5)+3.2)+-0.3)+0.3</f>
        <v>-38.412010196501697</v>
      </c>
      <c r="F3740" s="4">
        <f>((-1.5648415*(1.3/1.5))*0.6)-0.3</f>
        <v>-1.1137175800000001</v>
      </c>
    </row>
    <row r="3741" spans="1:6" x14ac:dyDescent="0.4">
      <c r="A3741" s="4">
        <v>3271.6445750000003</v>
      </c>
      <c r="B3741" s="4">
        <v>1.4218881000000001</v>
      </c>
      <c r="C3741" s="4">
        <v>1.4432228</v>
      </c>
      <c r="D3741" s="4">
        <v>-30.427568000000001</v>
      </c>
      <c r="E3741" s="4">
        <f>(((((((((-30.109086/(10/9))+-10.5)+-0.4)*0.98)*1.11)*0.85)-6.5)+3.2)+-0.3)+0.3</f>
        <v>-38.434254769361992</v>
      </c>
      <c r="F3741" s="4">
        <f>((-1.5647938*(1.3/1.5))*0.6)-0.3</f>
        <v>-1.1136927759999999</v>
      </c>
    </row>
    <row r="3742" spans="1:6" x14ac:dyDescent="0.4">
      <c r="A3742" s="4">
        <v>3272.5194999999999</v>
      </c>
      <c r="B3742" s="4">
        <v>1.4220849</v>
      </c>
      <c r="C3742" s="4">
        <v>1.4438238000000001</v>
      </c>
      <c r="D3742" s="4">
        <v>-30.423704999999998</v>
      </c>
      <c r="E3742" s="4">
        <f>(((((((((-30.1038399/(10/9))+-10.5)+-0.4)*0.98)*1.11)*0.85)-6.5)+3.2)+-0.3)+0.3</f>
        <v>-38.429889138063302</v>
      </c>
      <c r="F3742" s="4">
        <f>((-1.5646271*(1.3/1.5))*0.6)-0.3</f>
        <v>-1.1136060920000002</v>
      </c>
    </row>
    <row r="3743" spans="1:6" x14ac:dyDescent="0.4">
      <c r="A3743" s="4">
        <v>3273.394425</v>
      </c>
      <c r="B3743" s="4">
        <v>1.4222797</v>
      </c>
      <c r="C3743" s="4">
        <v>1.4437841</v>
      </c>
      <c r="D3743" s="4">
        <v>-30.420193999999999</v>
      </c>
      <c r="E3743" s="4">
        <f>(((((((((-30.0900177/(10/9))+-10.5)+-0.4)*0.98)*1.11)*0.85)-6.5)+3.2)+-0.3)+0.3</f>
        <v>-38.418386759355897</v>
      </c>
      <c r="F3743" s="4">
        <f>((-1.5643202*(1.3/1.5))*0.6)-0.3</f>
        <v>-1.1134465040000001</v>
      </c>
    </row>
    <row r="3744" spans="1:6" x14ac:dyDescent="0.4">
      <c r="A3744" s="4">
        <v>3274.26935</v>
      </c>
      <c r="B3744" s="4">
        <v>1.4222515</v>
      </c>
      <c r="C3744" s="4">
        <v>1.4436933999999999</v>
      </c>
      <c r="D3744" s="4">
        <v>-30.416502999999999</v>
      </c>
      <c r="E3744" s="4">
        <f>(((((((((-30.1067928/(10/9))+-10.5)+-0.4)*0.98)*1.11)*0.85)-6.5)+3.2)+-0.3)+0.3</f>
        <v>-38.432346443997602</v>
      </c>
      <c r="F3744" s="4">
        <f>((-1.5638362*(1.3/1.5))*0.6)-0.3</f>
        <v>-1.113194824</v>
      </c>
    </row>
    <row r="3745" spans="1:6" x14ac:dyDescent="0.4">
      <c r="A3745" s="4">
        <v>3275.1442750000001</v>
      </c>
      <c r="B3745" s="4">
        <v>1.4220679000000001</v>
      </c>
      <c r="C3745" s="4">
        <v>1.4436046</v>
      </c>
      <c r="D3745" s="4">
        <v>-30.413090999999998</v>
      </c>
      <c r="E3745" s="4">
        <f>(((((((((-30.102597/(10/9))+-10.5)+-0.4)*0.98)*1.11)*0.85)-6.5)+3.2)+-0.3)+0.3</f>
        <v>-38.428854837698992</v>
      </c>
      <c r="F3745" s="4">
        <f>((-1.5631864*(1.3/1.5))*0.6)-0.3</f>
        <v>-1.112856928</v>
      </c>
    </row>
    <row r="3746" spans="1:6" x14ac:dyDescent="0.4">
      <c r="A3746" s="4">
        <v>3276.0192000000002</v>
      </c>
      <c r="B3746" s="4">
        <v>1.4221052999999999</v>
      </c>
      <c r="C3746" s="4">
        <v>1.4432088000000001</v>
      </c>
      <c r="D3746" s="4">
        <v>-30.409821999999998</v>
      </c>
      <c r="E3746" s="4">
        <f>(((((((((-30.1067136/(10/9))+-10.5)+-0.4)*0.98)*1.11)*0.85)-6.5)+3.2)+-0.3)+0.3</f>
        <v>-38.432280536371202</v>
      </c>
      <c r="F3746" s="4">
        <f>((-1.5623523*(1.3/1.5))*0.6)-0.3</f>
        <v>-1.1124231959999999</v>
      </c>
    </row>
    <row r="3747" spans="1:6" x14ac:dyDescent="0.4">
      <c r="A3747" s="4">
        <v>3276.8941249999998</v>
      </c>
      <c r="B3747" s="4">
        <v>1.4218827000000001</v>
      </c>
      <c r="C3747" s="4">
        <v>1.4432240999999999</v>
      </c>
      <c r="D3747" s="4">
        <v>-30.406935999999998</v>
      </c>
      <c r="E3747" s="4">
        <f>(((((((((-30.1039641/(10/9))+-10.5)+-0.4)*0.98)*1.11)*0.85)-6.5)+3.2)+-0.3)+0.3</f>
        <v>-38.429992493204701</v>
      </c>
      <c r="F3747" s="4">
        <f>((-1.5614302*(1.3/1.5))*0.6)-0.3</f>
        <v>-1.111943704</v>
      </c>
    </row>
    <row r="3748" spans="1:6" x14ac:dyDescent="0.4">
      <c r="A3748" s="4">
        <v>3277.7690499999999</v>
      </c>
      <c r="B3748" s="4">
        <v>1.4221591</v>
      </c>
      <c r="C3748" s="4">
        <v>1.4433720999999999</v>
      </c>
      <c r="D3748" s="4">
        <v>-30.404142</v>
      </c>
      <c r="E3748" s="4">
        <f>(((((((((-30.1025493/(10/9))+-10.5)+-0.4)*0.98)*1.11)*0.85)-6.5)+3.2)+-0.3)+0.3</f>
        <v>-38.428815143333097</v>
      </c>
      <c r="F3748" s="4">
        <f>((-1.560351*(1.3/1.5))*0.6)-0.3</f>
        <v>-1.11138252</v>
      </c>
    </row>
    <row r="3749" spans="1:6" x14ac:dyDescent="0.4">
      <c r="A3749" s="4">
        <v>3278.643975</v>
      </c>
      <c r="B3749" s="4">
        <v>1.4223222</v>
      </c>
      <c r="C3749" s="4">
        <v>1.4430357</v>
      </c>
      <c r="D3749" s="4">
        <v>-30.401813000000001</v>
      </c>
      <c r="E3749" s="4">
        <f>(((((((((-30.1151394/(10/9))+-10.5)+-0.4)*0.98)*1.11)*0.85)-6.5)+3.2)+-0.3)+0.3</f>
        <v>-38.439292209079802</v>
      </c>
      <c r="F3749" s="4">
        <f>((-1.5591822*(1.3/1.5))*0.6)-0.3</f>
        <v>-1.110774744</v>
      </c>
    </row>
    <row r="3750" spans="1:6" x14ac:dyDescent="0.4">
      <c r="A3750" s="4">
        <v>3279.5189</v>
      </c>
      <c r="B3750" s="4">
        <v>1.4221600999999999</v>
      </c>
      <c r="C3750" s="4">
        <v>1.4430164000000001</v>
      </c>
      <c r="D3750" s="4">
        <v>-30.399754999999999</v>
      </c>
      <c r="E3750" s="4">
        <f>(((((((((-30.0934584/(10/9))+-10.5)+-0.4)*0.98)*1.11)*0.85)-6.5)+3.2)+-0.3)+0.3</f>
        <v>-38.421249996352799</v>
      </c>
      <c r="F3750" s="4">
        <f>((-1.5579106*(1.3/1.5))*0.6)-0.3</f>
        <v>-1.1101135119999999</v>
      </c>
    </row>
    <row r="3751" spans="1:6" x14ac:dyDescent="0.4">
      <c r="A3751" s="4">
        <v>3280.3938250000001</v>
      </c>
      <c r="B3751" s="4">
        <v>1.4221035</v>
      </c>
      <c r="C3751" s="4">
        <v>1.4431970000000001</v>
      </c>
      <c r="D3751" s="4">
        <v>-30.397888999999999</v>
      </c>
      <c r="E3751" s="4">
        <f>(((((((((-30.1214529/(10/9))+-10.5)+-0.4)*0.98)*1.11)*0.85)-6.5)+3.2)+-0.3)+0.3</f>
        <v>-38.444546095434298</v>
      </c>
      <c r="F3751" s="4">
        <f>((-1.5564585*(1.3/1.5))*0.6)-0.3</f>
        <v>-1.10935842</v>
      </c>
    </row>
    <row r="3752" spans="1:6" x14ac:dyDescent="0.4">
      <c r="A3752" s="4">
        <v>3281.2687500000002</v>
      </c>
      <c r="B3752" s="4">
        <v>1.421324</v>
      </c>
      <c r="C3752" s="4">
        <v>1.4427378</v>
      </c>
      <c r="D3752" s="4">
        <v>-30.396357999999999</v>
      </c>
      <c r="E3752" s="4">
        <f>(((((((((-30.1091895/(10/9))+-10.5)+-0.4)*0.98)*1.11)*0.85)-6.5)+3.2)+-0.3)+0.3</f>
        <v>-38.434340898646489</v>
      </c>
      <c r="F3752" s="4">
        <f>((-1.5548819*(1.3/1.5))*0.6)-0.3</f>
        <v>-1.108538588</v>
      </c>
    </row>
    <row r="3753" spans="1:6" x14ac:dyDescent="0.4">
      <c r="A3753" s="4">
        <v>3282.1436749999998</v>
      </c>
      <c r="B3753" s="4">
        <v>1.4216884000000001</v>
      </c>
      <c r="C3753" s="4">
        <v>1.4423527</v>
      </c>
      <c r="D3753" s="4">
        <v>-30.394952</v>
      </c>
      <c r="E3753" s="4">
        <f>(((((((((-30.1186269/(10/9))+-10.5)+-0.4)*0.98)*1.11)*0.85)-6.5)+3.2)+-0.3)+0.3</f>
        <v>-38.442194391492286</v>
      </c>
      <c r="F3753" s="4">
        <f>((-1.5532281*(1.3/1.5))*0.6)-0.3</f>
        <v>-1.107678612</v>
      </c>
    </row>
    <row r="3754" spans="1:6" x14ac:dyDescent="0.4">
      <c r="A3754" s="4">
        <v>3283.0185999999999</v>
      </c>
      <c r="B3754" s="4">
        <v>1.4214457</v>
      </c>
      <c r="C3754" s="4">
        <v>1.4421203</v>
      </c>
      <c r="D3754" s="4">
        <v>-30.394013999999999</v>
      </c>
      <c r="E3754" s="4">
        <f>(((((((((-30.115863/(10/9))+-10.5)+-0.4)*0.98)*1.11)*0.85)-6.5)+3.2)+-0.3)+0.3</f>
        <v>-38.439894365120999</v>
      </c>
      <c r="F3754" s="4">
        <f>((-1.5514952*(1.3/1.5))*0.6)-0.3</f>
        <v>-1.1067775039999999</v>
      </c>
    </row>
    <row r="3755" spans="1:6" x14ac:dyDescent="0.4">
      <c r="A3755" s="4">
        <v>3283.893525</v>
      </c>
      <c r="B3755" s="4">
        <v>1.4220524999999999</v>
      </c>
      <c r="C3755" s="4">
        <v>1.4427365999999999</v>
      </c>
      <c r="D3755" s="4">
        <v>-30.393063999999999</v>
      </c>
      <c r="E3755" s="4">
        <f>(((((((((-30.115548/(10/9))+-10.5)+-0.4)*0.98)*1.11)*0.85)-6.5)+3.2)+-0.3)+0.3</f>
        <v>-38.439632232515997</v>
      </c>
      <c r="F3755" s="4">
        <f>((-1.5496223*(1.3/1.5))*0.6)-0.3</f>
        <v>-1.1058035959999999</v>
      </c>
    </row>
    <row r="3756" spans="1:6" x14ac:dyDescent="0.4">
      <c r="A3756" s="4">
        <v>3284.76845</v>
      </c>
      <c r="B3756" s="4">
        <v>1.4216757</v>
      </c>
      <c r="C3756" s="4">
        <v>1.4423329</v>
      </c>
      <c r="D3756" s="4">
        <v>-30.391914</v>
      </c>
      <c r="E3756" s="4">
        <f>(((((((((-30.0987828/(10/9))+-10.5)+-0.4)*0.98)*1.11)*0.85)-6.5)+3.2)+-0.3)+0.3</f>
        <v>-38.425680786327604</v>
      </c>
      <c r="F3756" s="4">
        <f>((-1.5475792*(1.3/1.5))*0.6)-0.3</f>
        <v>-1.1047411839999999</v>
      </c>
    </row>
    <row r="3757" spans="1:6" x14ac:dyDescent="0.4">
      <c r="A3757" s="4">
        <v>3285.6433750000001</v>
      </c>
      <c r="B3757" s="4">
        <v>1.4215747999999999</v>
      </c>
      <c r="C3757" s="4">
        <v>1.4423651</v>
      </c>
      <c r="D3757" s="4">
        <v>-30.39141</v>
      </c>
      <c r="E3757" s="4">
        <f>(((((((((-30.1415409/(10/9))+-10.5)+-0.4)*0.98)*1.11)*0.85)-6.5)+3.2)+-0.3)+0.3</f>
        <v>-38.461262666130295</v>
      </c>
      <c r="F3757" s="4">
        <f>((-1.5454584*(1.3/1.5))*0.6)-0.3</f>
        <v>-1.1036383679999999</v>
      </c>
    </row>
    <row r="3758" spans="1:6" x14ac:dyDescent="0.4">
      <c r="A3758" s="4">
        <v>3286.5182999999997</v>
      </c>
      <c r="B3758" s="4">
        <v>1.4217957000000001</v>
      </c>
      <c r="C3758" s="4">
        <v>1.442402</v>
      </c>
      <c r="D3758" s="4">
        <v>-30.391033999999998</v>
      </c>
      <c r="E3758" s="4">
        <f>(((((((((-30.1020102/(10/9))+-10.5)+-0.4)*0.98)*1.11)*0.85)-6.5)+3.2)+-0.3)+0.3</f>
        <v>-38.428366522103396</v>
      </c>
      <c r="F3758" s="4">
        <f>((-1.5432758*(1.3/1.5))*0.6)-0.3</f>
        <v>-1.102503416</v>
      </c>
    </row>
    <row r="3759" spans="1:6" x14ac:dyDescent="0.4">
      <c r="A3759" s="4">
        <v>3287.3932250000003</v>
      </c>
      <c r="B3759" s="4">
        <v>1.4217458999999999</v>
      </c>
      <c r="C3759" s="4">
        <v>1.4426296999999999</v>
      </c>
      <c r="D3759" s="4">
        <v>-30.391372</v>
      </c>
      <c r="E3759" s="4">
        <f>(((((((((-30.1472532/(10/9))+-10.5)+-0.4)*0.98)*1.11)*0.85)-6.5)+3.2)+-0.3)+0.3</f>
        <v>-38.466016253684394</v>
      </c>
      <c r="F3759" s="4">
        <f>((-1.5410596*(1.3/1.5))*0.6)-0.3</f>
        <v>-1.101350992</v>
      </c>
    </row>
    <row r="3760" spans="1:6" x14ac:dyDescent="0.4">
      <c r="A3760" s="4">
        <v>3288.2681499999999</v>
      </c>
      <c r="B3760" s="4">
        <v>1.4217061</v>
      </c>
      <c r="C3760" s="4">
        <v>1.4425136000000001</v>
      </c>
      <c r="D3760" s="4">
        <v>-30.392071999999999</v>
      </c>
      <c r="E3760" s="4">
        <f>(((((((((-30.091851/(10/9))+-10.5)+-0.4)*0.98)*1.11)*0.85)-6.5)+3.2)+-0.3)+0.3</f>
        <v>-38.419912371116993</v>
      </c>
      <c r="F3760" s="4">
        <f>((-1.5388235*(1.3/1.5))*0.6)-0.3</f>
        <v>-1.1001882199999999</v>
      </c>
    </row>
    <row r="3761" spans="1:6" x14ac:dyDescent="0.4">
      <c r="A3761" s="4">
        <v>3289.1430750000004</v>
      </c>
      <c r="B3761" s="4">
        <v>1.4215248</v>
      </c>
      <c r="C3761" s="4">
        <v>1.442369</v>
      </c>
      <c r="D3761" s="4">
        <v>-30.392854</v>
      </c>
      <c r="E3761" s="4">
        <f>(((((((((-30.1039155/(10/9))+-10.5)+-0.4)*0.98)*1.11)*0.85)-6.5)+3.2)+-0.3)+0.3</f>
        <v>-38.429952049888492</v>
      </c>
      <c r="F3761" s="4">
        <f>((-1.5365092*(1.3/1.5))*0.6)-0.3</f>
        <v>-1.098984784</v>
      </c>
    </row>
    <row r="3762" spans="1:6" x14ac:dyDescent="0.4">
      <c r="A3762" s="4">
        <v>3290.018</v>
      </c>
      <c r="B3762" s="4">
        <v>1.4213876999999999</v>
      </c>
      <c r="C3762" s="4">
        <v>1.4419048000000001</v>
      </c>
      <c r="D3762" s="4">
        <v>-30.394067</v>
      </c>
      <c r="E3762" s="4">
        <f>(((((((((-30.1084821/(10/9))+-10.5)+-0.4)*0.98)*1.11)*0.85)-6.5)+3.2)+-0.3)+0.3</f>
        <v>-38.433752223710698</v>
      </c>
      <c r="F3762" s="4">
        <f>((-1.5342709*(1.3/1.5))*0.6)-0.3</f>
        <v>-1.0978208680000001</v>
      </c>
    </row>
    <row r="3763" spans="1:6" x14ac:dyDescent="0.4">
      <c r="A3763" s="4">
        <v>3290.8929249999997</v>
      </c>
      <c r="B3763" s="4">
        <v>1.4213963999999999</v>
      </c>
      <c r="C3763" s="4">
        <v>1.4414085999999999</v>
      </c>
      <c r="D3763" s="4">
        <v>-30.395420999999999</v>
      </c>
      <c r="E3763" s="4">
        <f>(((((((((-30.0952539/(10/9))+-10.5)+-0.4)*0.98)*1.11)*0.85)-6.5)+3.2)+-0.3)+0.3</f>
        <v>-38.42274415220129</v>
      </c>
      <c r="F3763" s="4">
        <f>((-1.5319636*(1.3/1.5))*0.6)-0.3</f>
        <v>-1.096621072</v>
      </c>
    </row>
    <row r="3764" spans="1:6" x14ac:dyDescent="0.4">
      <c r="A3764" s="4">
        <v>3291.7678500000002</v>
      </c>
      <c r="B3764" s="4">
        <v>1.4214294000000001</v>
      </c>
      <c r="C3764" s="4">
        <v>1.4412417</v>
      </c>
      <c r="D3764" s="4">
        <v>-30.397327000000001</v>
      </c>
      <c r="E3764" s="4">
        <f>(((((((((-30.1093884/(10/9))+-10.5)+-0.4)*0.98)*1.11)*0.85)-6.5)+3.2)+-0.3)+0.3</f>
        <v>-38.434506416662799</v>
      </c>
      <c r="F3764" s="4">
        <f>((-1.5296661*(1.3/1.5))*0.6)-0.3</f>
        <v>-1.0954263720000001</v>
      </c>
    </row>
    <row r="3765" spans="1:6" x14ac:dyDescent="0.4">
      <c r="A3765" s="4">
        <v>3292.6427749999998</v>
      </c>
      <c r="B3765" s="4">
        <v>1.4215628</v>
      </c>
      <c r="C3765" s="4">
        <v>1.4410082</v>
      </c>
      <c r="D3765" s="4">
        <v>-30.399448</v>
      </c>
      <c r="E3765" s="4">
        <f>(((((((((-30.093084/(10/9))+-10.5)+-0.4)*0.98)*1.11)*0.85)-6.5)+3.2)+-0.3)+0.3</f>
        <v>-38.420938433027992</v>
      </c>
      <c r="F3765" s="4">
        <f>((-1.5274453*(1.3/1.5))*0.6)-0.3</f>
        <v>-1.094271556</v>
      </c>
    </row>
    <row r="3766" spans="1:6" x14ac:dyDescent="0.4">
      <c r="A3766" s="4">
        <v>3293.5177000000003</v>
      </c>
      <c r="B3766" s="4">
        <v>1.4214243</v>
      </c>
      <c r="C3766" s="4">
        <v>1.4411385999999999</v>
      </c>
      <c r="D3766" s="4">
        <v>-30.401315</v>
      </c>
      <c r="E3766" s="4">
        <f>(((((((((-30.1016979/(10/9))+-10.5)+-0.4)*0.98)*1.11)*0.85)-6.5)+3.2)+-0.3)+0.3</f>
        <v>-38.428106636349298</v>
      </c>
      <c r="F3766" s="4">
        <f>((-1.5252266*(1.3/1.5))*0.6)-0.3</f>
        <v>-1.0931178320000001</v>
      </c>
    </row>
    <row r="3767" spans="1:6" x14ac:dyDescent="0.4">
      <c r="A3767" s="4">
        <v>3294.392625</v>
      </c>
      <c r="B3767" s="4">
        <v>1.4215004</v>
      </c>
      <c r="C3767" s="4">
        <v>1.4405684000000001</v>
      </c>
      <c r="D3767" s="4">
        <v>-30.403302</v>
      </c>
      <c r="E3767" s="4">
        <f>(((((((((-30.1061988/(10/9))+-10.5)+-0.4)*0.98)*1.11)*0.85)-6.5)+3.2)+-0.3)+0.3</f>
        <v>-38.431852136799598</v>
      </c>
      <c r="F3767" s="4">
        <f>((-1.5228834*(1.3/1.5))*0.6)-0.3</f>
        <v>-1.091899368</v>
      </c>
    </row>
    <row r="3768" spans="1:6" x14ac:dyDescent="0.4">
      <c r="A3768" s="4">
        <v>3295.26755</v>
      </c>
      <c r="B3768" s="4">
        <v>1.4211214000000001</v>
      </c>
      <c r="C3768" s="4">
        <v>1.4403999000000001</v>
      </c>
      <c r="D3768" s="4">
        <v>-30.406037999999999</v>
      </c>
      <c r="E3768" s="4">
        <f>(((((((((-30.0592566/(10/9))+-10.5)+-0.4)*0.98)*1.11)*0.85)-6.5)+3.2)+-0.3)+0.3</f>
        <v>-38.392788387052192</v>
      </c>
      <c r="F3768" s="4">
        <f>((-1.5205817*(1.3/1.5))*0.6)-0.3</f>
        <v>-1.0907024839999999</v>
      </c>
    </row>
    <row r="3769" spans="1:6" x14ac:dyDescent="0.4">
      <c r="A3769" s="4">
        <v>3296.1424750000001</v>
      </c>
      <c r="B3769" s="4">
        <v>1.4214207999999999</v>
      </c>
      <c r="C3769" s="4">
        <v>1.4406021</v>
      </c>
      <c r="D3769" s="4">
        <v>-30.408823999999999</v>
      </c>
      <c r="E3769" s="4">
        <f>(((((((((-30.0730617/(10/9))+-10.5)+-0.4)*0.98)*1.11)*0.85)-6.5)+3.2)+-0.3)+0.3</f>
        <v>-38.4042765357039</v>
      </c>
      <c r="F3769" s="4">
        <f>((-1.5183244*(1.3/1.5))*0.6)-0.3</f>
        <v>-1.0895286879999999</v>
      </c>
    </row>
    <row r="3770" spans="1:6" x14ac:dyDescent="0.4">
      <c r="A3770" s="4">
        <v>3297.0173999999997</v>
      </c>
      <c r="B3770" s="4">
        <v>1.4213825</v>
      </c>
      <c r="C3770" s="4">
        <v>1.4402345000000001</v>
      </c>
      <c r="D3770" s="4">
        <v>-30.412233999999998</v>
      </c>
      <c r="E3770" s="4">
        <f>(((((((((-30.0631086/(10/9))+-10.5)+-0.4)*0.98)*1.11)*0.85)-6.5)+3.2)+-0.3)+0.3</f>
        <v>-38.395993894336193</v>
      </c>
      <c r="F3770" s="4">
        <f>((-1.5161649*(1.3/1.5))*0.6)-0.3</f>
        <v>-1.088405748</v>
      </c>
    </row>
    <row r="3771" spans="1:6" x14ac:dyDescent="0.4">
      <c r="A3771" s="4">
        <v>3297.8923250000003</v>
      </c>
      <c r="B3771" s="4">
        <v>1.4209944999999999</v>
      </c>
      <c r="C3771" s="4">
        <v>1.4396107</v>
      </c>
      <c r="D3771" s="4">
        <v>-30.415879</v>
      </c>
      <c r="E3771" s="4">
        <f>(((((((((-30.0691233/(10/9))+-10.5)+-0.4)*0.98)*1.11)*0.85)-6.5)+3.2)+-0.3)+0.3</f>
        <v>-38.400999129191092</v>
      </c>
      <c r="F3771" s="4">
        <f>((-1.514025*(1.3/1.5))*0.6)-0.3</f>
        <v>-1.0872929999999998</v>
      </c>
    </row>
    <row r="3772" spans="1:6" x14ac:dyDescent="0.4">
      <c r="A3772" s="4">
        <v>3298.7672499999999</v>
      </c>
      <c r="B3772" s="4">
        <v>1.4211175</v>
      </c>
      <c r="C3772" s="4">
        <v>1.4392307</v>
      </c>
      <c r="D3772" s="4">
        <v>-30.419453999999998</v>
      </c>
      <c r="E3772" s="4">
        <f>(((((((((-30.063393/(10/9))+-10.5)+-0.4)*0.98)*1.11)*0.85)-6.5)+3.2)+-0.3)+0.3</f>
        <v>-38.396230562630997</v>
      </c>
      <c r="F3772" s="4">
        <f>((-1.5120999*(1.3/1.5))*0.6)-0.3</f>
        <v>-1.086291948</v>
      </c>
    </row>
    <row r="3773" spans="1:6" x14ac:dyDescent="0.4">
      <c r="A3773" s="4">
        <v>3299.642175</v>
      </c>
      <c r="B3773" s="4">
        <v>1.4212369</v>
      </c>
      <c r="C3773" s="4">
        <v>1.4388512</v>
      </c>
      <c r="D3773" s="4">
        <v>-30.422934999999999</v>
      </c>
      <c r="E3773" s="4">
        <f>(((((((((-30.0490524/(10/9))+-10.5)+-0.4)*0.98)*1.11)*0.85)-6.5)+3.2)+-0.3)+0.3</f>
        <v>-38.384296788550792</v>
      </c>
      <c r="F3773" s="4">
        <f>((-1.510363*(1.3/1.5))*0.6)-0.3</f>
        <v>-1.0853887600000001</v>
      </c>
    </row>
    <row r="3774" spans="1:6" x14ac:dyDescent="0.4">
      <c r="A3774" s="4">
        <v>3300.5171</v>
      </c>
      <c r="B3774" s="4">
        <v>1.4212009000000001</v>
      </c>
      <c r="C3774" s="4">
        <v>1.4384645</v>
      </c>
      <c r="D3774" s="4">
        <v>-30.426897999999998</v>
      </c>
      <c r="E3774" s="4">
        <f>(((((((((-30.0397896/(10/9))+-10.5)+-0.4)*0.98)*1.11)*0.85)-6.5)+3.2)+-0.3)+0.3</f>
        <v>-38.376588592063186</v>
      </c>
      <c r="F3774" s="4">
        <f>((-1.5086074*(1.3/1.5))*0.6)-0.3</f>
        <v>-1.0844758479999999</v>
      </c>
    </row>
    <row r="3775" spans="1:6" x14ac:dyDescent="0.4">
      <c r="A3775" s="4">
        <v>3301.3920250000001</v>
      </c>
      <c r="B3775" s="4">
        <v>1.4209886</v>
      </c>
      <c r="C3775" s="4">
        <v>1.4387724</v>
      </c>
      <c r="D3775" s="4">
        <v>-30.430412</v>
      </c>
      <c r="E3775" s="4">
        <f>(((((((((-30.0427461/(10/9))+-10.5)+-0.4)*0.98)*1.11)*0.85)-6.5)+3.2)+-0.3)+0.3</f>
        <v>-38.379048893798696</v>
      </c>
      <c r="F3775" s="4">
        <f>((-1.5069338*(1.3/1.5))*0.6)-0.3</f>
        <v>-1.0836055760000001</v>
      </c>
    </row>
    <row r="3776" spans="1:6" x14ac:dyDescent="0.4">
      <c r="A3776" s="4">
        <v>3302.2669500000002</v>
      </c>
      <c r="B3776" s="4">
        <v>1.421225</v>
      </c>
      <c r="C3776" s="4">
        <v>1.4387270000000001</v>
      </c>
      <c r="D3776" s="4">
        <v>-30.434362</v>
      </c>
      <c r="E3776" s="4">
        <f>(((((((((-30.0659958/(10/9))+-10.5)+-0.4)*0.98)*1.11)*0.85)-6.5)+3.2)+-0.3)+0.3</f>
        <v>-38.398396526898587</v>
      </c>
      <c r="F3776" s="4">
        <f>((-1.5053567*(1.3/1.5))*0.6)-0.3</f>
        <v>-1.082785484</v>
      </c>
    </row>
    <row r="3777" spans="1:6" x14ac:dyDescent="0.4">
      <c r="A3777" s="4">
        <v>3303.1418749999998</v>
      </c>
      <c r="B3777" s="4">
        <v>1.4209388000000001</v>
      </c>
      <c r="C3777" s="4">
        <v>1.4383410999999999</v>
      </c>
      <c r="D3777" s="4">
        <v>-30.438579000000001</v>
      </c>
      <c r="E3777" s="4">
        <f>(((((((((-30.0709152/(10/9))+-10.5)+-0.4)*0.98)*1.11)*0.85)-6.5)+3.2)+-0.3)+0.3</f>
        <v>-38.402490289238393</v>
      </c>
      <c r="F3777" s="4">
        <f>((-1.5038867*(1.3/1.5))*0.6)-0.3</f>
        <v>-1.082021084</v>
      </c>
    </row>
    <row r="3778" spans="1:6" x14ac:dyDescent="0.4">
      <c r="A3778" s="4">
        <v>3304.0167999999999</v>
      </c>
      <c r="B3778" s="4">
        <v>1.4209086</v>
      </c>
      <c r="C3778" s="4">
        <v>1.4378245999999999</v>
      </c>
      <c r="D3778" s="4">
        <v>-30.442557999999998</v>
      </c>
      <c r="E3778" s="4">
        <f>(((((((((-30.0255696/(10/9))+-10.5)+-0.4)*0.98)*1.11)*0.85)-6.5)+3.2)+-0.3)+0.3</f>
        <v>-38.364755177323204</v>
      </c>
      <c r="F3778" s="4">
        <f>((-1.5025827*(1.3/1.5))*0.6)-0.3</f>
        <v>-1.0813430040000001</v>
      </c>
    </row>
    <row r="3779" spans="1:6" x14ac:dyDescent="0.4">
      <c r="A3779" s="4">
        <v>3304.891725</v>
      </c>
      <c r="B3779" s="4">
        <v>1.4210358999999999</v>
      </c>
      <c r="C3779" s="4">
        <v>1.4375420000000001</v>
      </c>
      <c r="D3779" s="4">
        <v>-30.446452000000001</v>
      </c>
      <c r="E3779" s="4">
        <f>(((((((((-30.0270285/(10/9))+-10.5)+-0.4)*0.98)*1.11)*0.85)-6.5)+3.2)+-0.3)+0.3</f>
        <v>-38.365969225759493</v>
      </c>
      <c r="F3779" s="4">
        <f>((-1.5014466*(1.3/1.5))*0.6)-0.3</f>
        <v>-1.080752232</v>
      </c>
    </row>
    <row r="3780" spans="1:6" x14ac:dyDescent="0.4">
      <c r="A3780" s="4">
        <v>3305.76665</v>
      </c>
      <c r="B3780" s="4">
        <v>1.4209426999999999</v>
      </c>
      <c r="C3780" s="4">
        <v>1.4370164999999999</v>
      </c>
      <c r="D3780" s="4">
        <v>-30.450928999999999</v>
      </c>
      <c r="E3780" s="4">
        <f>(((((((((-30.0269394/(10/9))+-10.5)+-0.4)*0.98)*1.11)*0.85)-6.5)+3.2)+-0.3)+0.3</f>
        <v>-38.365895079679802</v>
      </c>
      <c r="F3780" s="4">
        <f>((-1.5004963*(1.3/1.5))*0.6)-0.3</f>
        <v>-1.080258076</v>
      </c>
    </row>
    <row r="3781" spans="1:6" x14ac:dyDescent="0.4">
      <c r="A3781" s="4">
        <v>3306.6415750000001</v>
      </c>
      <c r="B3781" s="4">
        <v>1.4210293000000001</v>
      </c>
      <c r="C3781" s="4">
        <v>1.4366144000000001</v>
      </c>
      <c r="D3781" s="4">
        <v>-30.454865999999999</v>
      </c>
      <c r="E3781" s="4">
        <f>(((((((((-30.0531798/(10/9))+-10.5)+-0.4)*0.98)*1.11)*0.85)-6.5)+3.2)+-0.3)+0.3</f>
        <v>-38.387731474626591</v>
      </c>
      <c r="F3781" s="4">
        <f>((-1.4997096*(1.3/1.5))*0.6)-0.3</f>
        <v>-1.0798489920000001</v>
      </c>
    </row>
    <row r="3782" spans="1:6" x14ac:dyDescent="0.4">
      <c r="A3782" s="4">
        <v>3307.5165000000002</v>
      </c>
      <c r="B3782" s="4">
        <v>1.4209052</v>
      </c>
      <c r="C3782" s="4">
        <v>1.4360497999999999</v>
      </c>
      <c r="D3782" s="4">
        <v>-30.459350000000001</v>
      </c>
      <c r="E3782" s="4">
        <f>(((((((((-30.0264966/(10/9))+-10.5)+-0.4)*0.98)*1.11)*0.85)-6.5)+3.2)+-0.3)+0.3</f>
        <v>-38.365526596132199</v>
      </c>
      <c r="F3782" s="4">
        <f>((-1.4991002*(1.3/1.5))*0.6)-0.3</f>
        <v>-1.0795321039999999</v>
      </c>
    </row>
    <row r="3783" spans="1:6" x14ac:dyDescent="0.4">
      <c r="A3783" s="4">
        <v>3308.3914249999998</v>
      </c>
      <c r="B3783" s="4">
        <v>1.4206995</v>
      </c>
      <c r="C3783" s="4">
        <v>1.4361602</v>
      </c>
      <c r="D3783" s="4">
        <v>-30.463194999999999</v>
      </c>
      <c r="E3783" s="4">
        <f>(((((((((-30.0588858/(10/9))+-10.5)+-0.4)*0.98)*1.11)*0.85)-6.5)+3.2)+-0.3)+0.3</f>
        <v>-38.392479819528589</v>
      </c>
      <c r="F3783" s="4">
        <f>((-1.4986688*(1.3/1.5))*0.6)-0.3</f>
        <v>-1.0793077760000001</v>
      </c>
    </row>
    <row r="3784" spans="1:6" x14ac:dyDescent="0.4">
      <c r="A3784" s="4">
        <v>3309.2663499999999</v>
      </c>
      <c r="B3784" s="4">
        <v>1.4207179999999999</v>
      </c>
      <c r="C3784" s="4">
        <v>1.4366174</v>
      </c>
      <c r="D3784" s="4">
        <v>-30.467143</v>
      </c>
      <c r="E3784" s="4">
        <f>(((((((((-30.0603483/(10/9))+-10.5)+-0.4)*0.98)*1.11)*0.85)-6.5)+3.2)+-0.3)+0.3</f>
        <v>-38.393696863766095</v>
      </c>
      <c r="F3784" s="4">
        <f>((-1.4983864*(1.3/1.5))*0.6)-0.3</f>
        <v>-1.0791609280000001</v>
      </c>
    </row>
    <row r="3785" spans="1:6" x14ac:dyDescent="0.4">
      <c r="A3785" s="4">
        <v>3310.141275</v>
      </c>
      <c r="B3785" s="4">
        <v>1.4205614</v>
      </c>
      <c r="C3785" s="4">
        <v>1.4370083</v>
      </c>
      <c r="D3785" s="4">
        <v>-30.471</v>
      </c>
      <c r="E3785" s="4">
        <f>(((((((((-30.0293019/(10/9))+-10.5)+-0.4)*0.98)*1.11)*0.85)-6.5)+3.2)+-0.3)+0.3</f>
        <v>-38.367861074217302</v>
      </c>
      <c r="F3785" s="4">
        <f>((-1.4982768*(1.3/1.5))*0.6)-0.3</f>
        <v>-1.0791039360000001</v>
      </c>
    </row>
    <row r="3786" spans="1:6" x14ac:dyDescent="0.4">
      <c r="A3786" s="4">
        <v>3311.0162</v>
      </c>
      <c r="B3786" s="4">
        <v>1.4206567999999999</v>
      </c>
      <c r="C3786" s="4">
        <v>1.4373845999999999</v>
      </c>
      <c r="D3786" s="4">
        <v>-30.474912</v>
      </c>
      <c r="E3786" s="4">
        <f>(((((((((-30.0492/(10/9))+-10.5)+-0.4)*0.98)*1.11)*0.85)-6.5)+3.2)+-0.3)+0.3</f>
        <v>-38.384419616399995</v>
      </c>
      <c r="F3786" s="4">
        <f>((-1.4983085*(1.3/1.5))*0.6)-0.3</f>
        <v>-1.07912042</v>
      </c>
    </row>
    <row r="3787" spans="1:6" x14ac:dyDescent="0.4">
      <c r="A3787" s="4">
        <v>3311.8911250000001</v>
      </c>
      <c r="B3787" s="4">
        <v>1.4207505</v>
      </c>
      <c r="C3787" s="4">
        <v>1.4376701000000001</v>
      </c>
      <c r="D3787" s="4">
        <v>-30.478870000000001</v>
      </c>
      <c r="E3787" s="4">
        <f>(((((((((-30.0106422/(10/9))+-10.5)+-0.4)*0.98)*1.11)*0.85)-6.5)+3.2)+-0.3)+0.3</f>
        <v>-38.352333087647395</v>
      </c>
      <c r="F3787" s="4">
        <f>((-1.4985079*(1.3/1.5))*0.6)-0.3</f>
        <v>-1.079224108</v>
      </c>
    </row>
    <row r="3788" spans="1:6" x14ac:dyDescent="0.4">
      <c r="A3788" s="4">
        <v>3312.7660499999997</v>
      </c>
      <c r="B3788" s="4">
        <v>1.420674</v>
      </c>
      <c r="C3788" s="4">
        <v>1.4378213</v>
      </c>
      <c r="D3788" s="4">
        <v>-30.482445999999999</v>
      </c>
      <c r="E3788" s="4">
        <f>(((((((((-30.0013308/(10/9))+-10.5)+-0.4)*0.98)*1.11)*0.85)-6.5)+3.2)+-0.3)+0.3</f>
        <v>-38.344584447843594</v>
      </c>
      <c r="F3788" s="4">
        <f>((-1.4988745*(1.3/1.5))*0.6)-0.3</f>
        <v>-1.07941474</v>
      </c>
    </row>
    <row r="3789" spans="1:6" x14ac:dyDescent="0.4">
      <c r="A3789" s="4">
        <v>3313.6409750000003</v>
      </c>
      <c r="B3789" s="4">
        <v>1.4206742000000001</v>
      </c>
      <c r="C3789" s="4">
        <v>1.437978</v>
      </c>
      <c r="D3789" s="4">
        <v>-30.485042</v>
      </c>
      <c r="E3789" s="4">
        <f>(((((((((-30.0105729/(10/9))+-10.5)+-0.4)*0.98)*1.11)*0.85)-6.5)+3.2)+-0.3)+0.3</f>
        <v>-38.352275418474292</v>
      </c>
      <c r="F3789" s="4">
        <f>((-1.499432*(1.3/1.5))*0.6)-0.3</f>
        <v>-1.0797046399999999</v>
      </c>
    </row>
    <row r="3790" spans="1:6" x14ac:dyDescent="0.4">
      <c r="A3790" s="4">
        <v>3314.5158999999999</v>
      </c>
      <c r="B3790" s="4">
        <v>1.4209084999999999</v>
      </c>
      <c r="C3790" s="4">
        <v>1.4385684999999999</v>
      </c>
      <c r="D3790" s="4">
        <v>-30.487850999999999</v>
      </c>
      <c r="E3790" s="4">
        <f>(((((((((-30.0175497/(10/9))+-10.5)+-0.4)*0.98)*1.11)*0.85)-6.5)+3.2)+-0.3)+0.3</f>
        <v>-38.358081281199887</v>
      </c>
      <c r="F3790" s="4">
        <f>((-1.5001485*(1.3/1.5))*0.6)-0.3</f>
        <v>-1.0800772199999999</v>
      </c>
    </row>
    <row r="3791" spans="1:6" x14ac:dyDescent="0.4">
      <c r="A3791" s="4">
        <v>3315.3908250000004</v>
      </c>
      <c r="B3791" s="4">
        <v>1.4206694</v>
      </c>
      <c r="C3791" s="4">
        <v>1.4386173</v>
      </c>
      <c r="D3791" s="4">
        <v>-30.490311999999999</v>
      </c>
      <c r="E3791" s="4">
        <f>(((((((((-30.0248073/(10/9))+-10.5)+-0.4)*0.98)*1.11)*0.85)-6.5)+3.2)+-0.3)+0.3</f>
        <v>-38.364120816419103</v>
      </c>
      <c r="F3791" s="4">
        <f>((-1.5010978*(1.3/1.5))*0.6)-0.3</f>
        <v>-1.080570856</v>
      </c>
    </row>
    <row r="3792" spans="1:6" x14ac:dyDescent="0.4">
      <c r="A3792" s="4">
        <v>3316.26575</v>
      </c>
      <c r="B3792" s="4">
        <v>1.4210027000000001</v>
      </c>
      <c r="C3792" s="4">
        <v>1.4382218</v>
      </c>
      <c r="D3792" s="4">
        <v>-30.492853999999998</v>
      </c>
      <c r="E3792" s="4">
        <f>(((((((((-30.0194964/(10/9))+-10.5)+-0.4)*0.98)*1.11)*0.85)-6.5)+3.2)+-0.3)+0.3</f>
        <v>-38.359701260698799</v>
      </c>
      <c r="F3792" s="4">
        <f>((-1.5022417*(1.3/1.5))*0.6)-0.3</f>
        <v>-1.0811656839999999</v>
      </c>
    </row>
    <row r="3793" spans="1:6" x14ac:dyDescent="0.4">
      <c r="A3793" s="4">
        <v>3317.1406749999996</v>
      </c>
      <c r="B3793" s="4">
        <v>1.4208875000000001</v>
      </c>
      <c r="C3793" s="4">
        <v>1.4385133999999999</v>
      </c>
      <c r="D3793" s="4">
        <v>-30.49512</v>
      </c>
      <c r="E3793" s="4">
        <f>(((((((((-30.0126024/(10/9))+-10.5)+-0.4)*0.98)*1.11)*0.85)-6.5)+3.2)+-0.3)+0.3</f>
        <v>-38.353964301400794</v>
      </c>
      <c r="F3793" s="4">
        <f>((-1.5036505*(1.3/1.5))*0.6)-0.3</f>
        <v>-1.08189826</v>
      </c>
    </row>
    <row r="3794" spans="1:6" x14ac:dyDescent="0.4">
      <c r="A3794" s="4">
        <v>3318.0156000000002</v>
      </c>
      <c r="B3794" s="4">
        <v>1.4206903</v>
      </c>
      <c r="C3794" s="4">
        <v>1.4381807</v>
      </c>
      <c r="D3794" s="4">
        <v>-30.4969</v>
      </c>
      <c r="E3794" s="4">
        <f>(((((((((-30.0207015/(10/9))+-10.5)+-0.4)*0.98)*1.11)*0.85)-6.5)+3.2)+-0.3)+0.3</f>
        <v>-38.360704105150496</v>
      </c>
      <c r="F3794" s="4">
        <f>((-1.5051795*(1.3/1.5))*0.6)-0.3</f>
        <v>-1.0826933399999998</v>
      </c>
    </row>
    <row r="3795" spans="1:6" x14ac:dyDescent="0.4">
      <c r="A3795" s="4">
        <v>3318.8905249999998</v>
      </c>
      <c r="B3795" s="4">
        <v>1.4206635999999999</v>
      </c>
      <c r="C3795" s="4">
        <v>1.4377036000000001</v>
      </c>
      <c r="D3795" s="4">
        <v>-30.498163999999999</v>
      </c>
      <c r="E3795" s="4">
        <f>(((((((((-30.0046302/(10/9))+-10.5)+-0.4)*0.98)*1.11)*0.85)-6.5)+3.2)+-0.3)+0.3</f>
        <v>-38.347330099643401</v>
      </c>
      <c r="F3795" s="4">
        <f>((-1.5068849*(1.3/1.5))*0.6)-0.3</f>
        <v>-1.083580148</v>
      </c>
    </row>
    <row r="3796" spans="1:6" x14ac:dyDescent="0.4">
      <c r="A3796" s="4">
        <v>3319.7654500000003</v>
      </c>
      <c r="B3796" s="4">
        <v>1.4210175</v>
      </c>
      <c r="C3796" s="4">
        <v>1.4375028999999999</v>
      </c>
      <c r="D3796" s="4">
        <v>-30.499928999999998</v>
      </c>
      <c r="E3796" s="4">
        <f>(((((((((-29.9821527/(10/9))+-10.5)+-0.4)*0.98)*1.11)*0.85)-6.5)+3.2)+-0.3)+0.3</f>
        <v>-38.328625065900894</v>
      </c>
      <c r="F3796" s="4">
        <f>((-1.5088935*(1.3/1.5))*0.6)-0.3</f>
        <v>-1.08462462</v>
      </c>
    </row>
    <row r="3797" spans="1:6" x14ac:dyDescent="0.4">
      <c r="A3797" s="4">
        <v>3320.6403749999999</v>
      </c>
      <c r="B3797" s="4">
        <v>1.4211015</v>
      </c>
      <c r="C3797" s="4">
        <v>1.437084</v>
      </c>
      <c r="D3797" s="4">
        <v>-30.501270999999999</v>
      </c>
      <c r="E3797" s="4">
        <f>(((((((((-30.0048399/(10/9))+-10.5)+-0.4)*0.98)*1.11)*0.85)-6.5)+3.2)+-0.3)+0.3</f>
        <v>-38.347504605063293</v>
      </c>
      <c r="F3797" s="4">
        <f>((-1.5111085*(1.3/1.5))*0.6)-0.3</f>
        <v>-1.08577642</v>
      </c>
    </row>
    <row r="3798" spans="1:6" x14ac:dyDescent="0.4">
      <c r="A3798" s="4">
        <v>3321.5153</v>
      </c>
      <c r="B3798" s="4">
        <v>1.4212693000000001</v>
      </c>
      <c r="C3798" s="4">
        <v>1.4368763</v>
      </c>
      <c r="D3798" s="4">
        <v>-30.502295999999998</v>
      </c>
      <c r="E3798" s="4">
        <f>(((((((((-30.0027456/(10/9))+-10.5)+-0.4)*0.98)*1.11)*0.85)-6.5)+3.2)+-0.3)+0.3</f>
        <v>-38.345761797715198</v>
      </c>
      <c r="F3798" s="4">
        <f>((-1.5134555*(1.3/1.5))*0.6)-0.3</f>
        <v>-1.08699686</v>
      </c>
    </row>
    <row r="3799" spans="1:6" x14ac:dyDescent="0.4">
      <c r="A3799" s="4">
        <v>3322.3902250000001</v>
      </c>
      <c r="B3799" s="4">
        <v>1.4211351000000001</v>
      </c>
      <c r="C3799" s="4">
        <v>1.4370806</v>
      </c>
      <c r="D3799" s="4">
        <v>-30.503346999999998</v>
      </c>
      <c r="E3799" s="4">
        <f>(((((((((-30.0021444/(10/9))+-10.5)+-0.4)*0.98)*1.11)*0.85)-6.5)+3.2)+-0.3)+0.3</f>
        <v>-38.345261498914795</v>
      </c>
      <c r="F3799" s="4">
        <f>((-1.5159377*(1.3/1.5))*0.6)-0.3</f>
        <v>-1.088287604</v>
      </c>
    </row>
    <row r="3800" spans="1:6" x14ac:dyDescent="0.4">
      <c r="A3800" s="4">
        <v>3323.2651499999997</v>
      </c>
      <c r="B3800" s="4">
        <v>1.4212480999999999</v>
      </c>
      <c r="C3800" s="4">
        <v>1.4363258999999999</v>
      </c>
      <c r="D3800" s="4">
        <v>-30.503527999999999</v>
      </c>
      <c r="E3800" s="4">
        <f>(((((((((-29.9718261/(10/9))+-10.5)+-0.4)*0.98)*1.11)*0.85)-6.5)+3.2)+-0.3)+0.3</f>
        <v>-38.320031610158694</v>
      </c>
      <c r="F3800" s="4">
        <f>((-1.5185618*(1.3/1.5))*0.6)-0.3</f>
        <v>-1.089652136</v>
      </c>
    </row>
    <row r="3801" spans="1:6" x14ac:dyDescent="0.4">
      <c r="A3801" s="4">
        <v>3324.1400750000003</v>
      </c>
      <c r="B3801" s="4">
        <v>1.4211240999999999</v>
      </c>
      <c r="C3801" s="4">
        <v>1.4363902</v>
      </c>
      <c r="D3801" s="4">
        <v>-30.503149999999998</v>
      </c>
      <c r="E3801" s="4">
        <f>(((((((((-29.9940426/(10/9))+-10.5)+-0.4)*0.98)*1.11)*0.85)-6.5)+3.2)+-0.3)+0.3</f>
        <v>-38.338519448314194</v>
      </c>
      <c r="F3801" s="4">
        <f>((-1.5213555*(1.3/1.5))*0.6)-0.3</f>
        <v>-1.09110486</v>
      </c>
    </row>
    <row r="3802" spans="1:6" x14ac:dyDescent="0.4">
      <c r="A3802" s="4">
        <v>3325.0149999999999</v>
      </c>
      <c r="B3802" s="4">
        <v>1.4210925000000001</v>
      </c>
      <c r="C3802" s="4">
        <v>1.4365143</v>
      </c>
      <c r="D3802" s="4">
        <v>-30.502662000000001</v>
      </c>
      <c r="E3802" s="4">
        <f>(((((((((-30.0078504/(10/9))+-10.5)+-0.4)*0.98)*1.11)*0.85)-6.5)+3.2)+-0.3)+0.3</f>
        <v>-38.3500098438168</v>
      </c>
      <c r="F3802" s="4">
        <f>((-1.5242429*(1.3/1.5))*0.6)-0.3</f>
        <v>-1.0926063079999999</v>
      </c>
    </row>
    <row r="3803" spans="1:6" x14ac:dyDescent="0.4">
      <c r="A3803" s="4">
        <v>3325.8899249999999</v>
      </c>
      <c r="B3803" s="4">
        <v>1.4214694000000001</v>
      </c>
      <c r="C3803" s="4">
        <v>1.4361193999999999</v>
      </c>
      <c r="D3803" s="4">
        <v>-30.501743999999999</v>
      </c>
      <c r="E3803" s="4">
        <f>(((((((((-29.986839/(10/9))+-10.5)+-0.4)*0.98)*1.11)*0.85)-6.5)+3.2)+-0.3)+0.3</f>
        <v>-38.332524850112996</v>
      </c>
      <c r="F3803" s="4">
        <f>((-1.5273079*(1.3/1.5))*0.6)-0.3</f>
        <v>-1.0942001080000001</v>
      </c>
    </row>
    <row r="3804" spans="1:6" x14ac:dyDescent="0.4">
      <c r="A3804" s="4">
        <v>3326.76485</v>
      </c>
      <c r="B3804" s="4">
        <v>1.4215462000000001</v>
      </c>
      <c r="C3804" s="4">
        <v>1.4361653000000001</v>
      </c>
      <c r="D3804" s="4">
        <v>-30.500433999999998</v>
      </c>
      <c r="E3804" s="4">
        <f>(((((((((-30.0050316/(10/9))+-10.5)+-0.4)*0.98)*1.11)*0.85)-6.5)+3.2)+-0.3)+0.3</f>
        <v>-38.347664131477195</v>
      </c>
      <c r="F3804" s="4">
        <f>((-1.5305643*(1.3/1.5))*0.6)-0.3</f>
        <v>-1.0958934360000001</v>
      </c>
    </row>
    <row r="3805" spans="1:6" x14ac:dyDescent="0.4">
      <c r="A3805" s="4">
        <v>3327.6397750000001</v>
      </c>
      <c r="B3805" s="4">
        <v>1.4215956999999999</v>
      </c>
      <c r="C3805" s="4">
        <v>1.4358379999999999</v>
      </c>
      <c r="D3805" s="4">
        <v>-30.498456000000001</v>
      </c>
      <c r="E3805" s="4">
        <f>(((((((((-30.0168801/(10/9))+-10.5)+-0.4)*0.98)*1.11)*0.85)-6.5)+3.2)+-0.3)+0.3</f>
        <v>-38.357524062176694</v>
      </c>
      <c r="F3805" s="4">
        <f>((-1.5338835*(1.3/1.5))*0.6)-0.3</f>
        <v>-1.09761942</v>
      </c>
    </row>
    <row r="3806" spans="1:6" x14ac:dyDescent="0.4">
      <c r="A3806" s="4">
        <v>3328.5147000000002</v>
      </c>
      <c r="B3806" s="4">
        <v>1.4213126</v>
      </c>
      <c r="C3806" s="4">
        <v>1.4348372</v>
      </c>
      <c r="D3806" s="4">
        <v>-30.496189999999999</v>
      </c>
      <c r="E3806" s="4">
        <f>(((((((((-29.9855691/(10/9))+-10.5)+-0.4)*0.98)*1.11)*0.85)-6.5)+3.2)+-0.3)+0.3</f>
        <v>-38.331468081239699</v>
      </c>
      <c r="F3806" s="4">
        <f>((-1.537251*(1.3/1.5))*0.6)-0.3</f>
        <v>-1.0993705199999999</v>
      </c>
    </row>
    <row r="3807" spans="1:6" x14ac:dyDescent="0.4">
      <c r="A3807" s="4">
        <v>3329.3896249999998</v>
      </c>
      <c r="B3807" s="4">
        <v>1.4215884000000001</v>
      </c>
      <c r="C3807" s="4">
        <v>1.4341063000000001</v>
      </c>
      <c r="D3807" s="4">
        <v>-30.494304</v>
      </c>
      <c r="E3807" s="4">
        <f>(((((((((-29.9977227/(10/9))+-10.5)+-0.4)*0.98)*1.11)*0.85)-6.5)+3.2)+-0.3)+0.3</f>
        <v>-38.341581906090902</v>
      </c>
      <c r="F3807" s="4">
        <f>((-1.5407677*(1.3/1.5))*0.6)-0.3</f>
        <v>-1.101199204</v>
      </c>
    </row>
    <row r="3808" spans="1:6" x14ac:dyDescent="0.4">
      <c r="A3808" s="4">
        <v>3330.2645499999999</v>
      </c>
      <c r="B3808" s="4">
        <v>1.4214682999999999</v>
      </c>
      <c r="C3808" s="4">
        <v>1.4340497999999999</v>
      </c>
      <c r="D3808" s="4">
        <v>-30.491654999999998</v>
      </c>
      <c r="E3808" s="4">
        <f>(((((((((-30.0027078/(10/9))+-10.5)+-0.4)*0.98)*1.11)*0.85)-6.5)+3.2)+-0.3)+0.3</f>
        <v>-38.3457303418026</v>
      </c>
      <c r="F3808" s="4">
        <f>((-1.5443366*(1.3/1.5))*0.6)-0.3</f>
        <v>-1.1030550320000001</v>
      </c>
    </row>
    <row r="3809" spans="1:6" x14ac:dyDescent="0.4">
      <c r="A3809" s="4">
        <v>3331.1394749999999</v>
      </c>
      <c r="B3809" s="4">
        <v>1.4216342</v>
      </c>
      <c r="C3809" s="4">
        <v>1.4337019</v>
      </c>
      <c r="D3809" s="4">
        <v>-30.487908999999998</v>
      </c>
      <c r="E3809" s="4">
        <f>(((((((((-30.0057156/(10/9))+-10.5)+-0.4)*0.98)*1.11)*0.85)-6.5)+3.2)+-0.3)+0.3</f>
        <v>-38.348233333705188</v>
      </c>
      <c r="F3809" s="4">
        <f>((-1.5479716*(1.3/1.5))*0.6)-0.3</f>
        <v>-1.1049452319999999</v>
      </c>
    </row>
    <row r="3810" spans="1:6" x14ac:dyDescent="0.4">
      <c r="A3810" s="4">
        <v>3332.0144</v>
      </c>
      <c r="B3810" s="4">
        <v>1.4213343000000001</v>
      </c>
      <c r="C3810" s="4">
        <v>1.4335290999999999</v>
      </c>
      <c r="D3810" s="4">
        <v>-30.483931999999999</v>
      </c>
      <c r="E3810" s="4">
        <f>(((((((((-30.0271284/(10/9))+-10.5)+-0.4)*0.98)*1.11)*0.85)-6.5)+3.2)+-0.3)+0.3</f>
        <v>-38.366052359242794</v>
      </c>
      <c r="F3810" s="4">
        <f>((-1.5515903*(1.3/1.5))*0.6)-0.3</f>
        <v>-1.1068269559999999</v>
      </c>
    </row>
    <row r="3811" spans="1:6" x14ac:dyDescent="0.4">
      <c r="A3811" s="4">
        <v>3332.8893250000001</v>
      </c>
      <c r="B3811" s="4">
        <v>1.4217721000000001</v>
      </c>
      <c r="C3811" s="4">
        <v>1.4335827000000001</v>
      </c>
      <c r="D3811" s="4">
        <v>-30.479696000000001</v>
      </c>
      <c r="E3811" s="4">
        <f>(((((((((-29.9963592/(10/9))+-10.5)+-0.4)*0.98)*1.11)*0.85)-6.5)+3.2)+-0.3)+0.3</f>
        <v>-38.340447246386397</v>
      </c>
      <c r="F3811" s="4">
        <f>((-1.5553341*(1.3/1.5))*0.6)-0.3</f>
        <v>-1.108773732</v>
      </c>
    </row>
    <row r="3812" spans="1:6" x14ac:dyDescent="0.4">
      <c r="A3812" s="4">
        <v>3333.7642500000002</v>
      </c>
      <c r="B3812" s="4">
        <v>1.4217138</v>
      </c>
      <c r="C3812" s="4">
        <v>1.4333762000000001</v>
      </c>
      <c r="D3812" s="4">
        <v>-30.475192</v>
      </c>
      <c r="E3812" s="4">
        <f>(((((((((-29.994066/(10/9))+-10.5)+-0.4)*0.98)*1.11)*0.85)-6.5)+3.2)+-0.3)+0.3</f>
        <v>-38.338538921021993</v>
      </c>
      <c r="F3812" s="4">
        <f>((-1.5590357*(1.3/1.5))*0.6)-0.3</f>
        <v>-1.110698564</v>
      </c>
    </row>
    <row r="3813" spans="1:6" x14ac:dyDescent="0.4">
      <c r="A3813" s="4">
        <v>3334.6391749999998</v>
      </c>
      <c r="B3813" s="4">
        <v>1.4215567</v>
      </c>
      <c r="C3813" s="4">
        <v>1.4337864</v>
      </c>
      <c r="D3813" s="4">
        <v>-30.470040999999998</v>
      </c>
      <c r="E3813" s="4">
        <f>(((((((((-29.9967066/(10/9))+-10.5)+-0.4)*0.98)*1.11)*0.85)-6.5)+3.2)+-0.3)+0.3</f>
        <v>-38.340736341202202</v>
      </c>
      <c r="F3813" s="4">
        <f>((-1.5627655*(1.3/1.5))*0.6)-0.3</f>
        <v>-1.1126380600000001</v>
      </c>
    </row>
    <row r="3814" spans="1:6" x14ac:dyDescent="0.4">
      <c r="A3814" s="4">
        <v>3335.5140999999999</v>
      </c>
      <c r="B3814" s="4">
        <v>1.4215716</v>
      </c>
      <c r="C3814" s="4">
        <v>1.4341172</v>
      </c>
      <c r="D3814" s="4">
        <v>-30.464862</v>
      </c>
      <c r="E3814" s="4">
        <f>(((((((((-30.0094506/(10/9))+-10.5)+-0.4)*0.98)*1.11)*0.85)-6.5)+3.2)+-0.3)+0.3</f>
        <v>-38.351341477450198</v>
      </c>
      <c r="F3814" s="4">
        <f>((-1.5665268*(1.3/1.5))*0.6)-0.3</f>
        <v>-1.1145939360000001</v>
      </c>
    </row>
    <row r="3815" spans="1:6" x14ac:dyDescent="0.4">
      <c r="A3815" s="4">
        <v>3336.3890249999999</v>
      </c>
      <c r="B3815" s="4">
        <v>1.4219689</v>
      </c>
      <c r="C3815" s="4">
        <v>1.4339814</v>
      </c>
      <c r="D3815" s="4">
        <v>-30.459239</v>
      </c>
      <c r="E3815" s="4">
        <f>(((((((((-30.0041739/(10/9))+-10.5)+-0.4)*0.98)*1.11)*0.85)-6.5)+3.2)+-0.3)+0.3</f>
        <v>-38.346950381841296</v>
      </c>
      <c r="F3815" s="4">
        <f>((-1.5702682*(1.3/1.5))*0.6)-0.3</f>
        <v>-1.1165394639999999</v>
      </c>
    </row>
    <row r="3816" spans="1:6" x14ac:dyDescent="0.4">
      <c r="A3816" s="4">
        <v>3337.26395</v>
      </c>
      <c r="B3816" s="4">
        <v>1.4218941</v>
      </c>
      <c r="C3816" s="4">
        <v>1.4341952</v>
      </c>
      <c r="D3816" s="4">
        <v>-30.453417999999999</v>
      </c>
      <c r="E3816" s="4">
        <f>(((((((((-30.002598/(10/9))+-10.5)+-0.4)*0.98)*1.11)*0.85)-6.5)+3.2)+-0.3)+0.3</f>
        <v>-38.345638969865995</v>
      </c>
      <c r="F3816" s="4">
        <f>((-1.5740565*(1.3/1.5))*0.6)-0.3</f>
        <v>-1.1185093799999999</v>
      </c>
    </row>
    <row r="3817" spans="1:6" x14ac:dyDescent="0.4">
      <c r="A3817" s="4">
        <v>3338.1388750000001</v>
      </c>
      <c r="B3817" s="4">
        <v>1.4219431</v>
      </c>
      <c r="C3817" s="4">
        <v>1.4344943999999999</v>
      </c>
      <c r="D3817" s="4">
        <v>-30.447361999999998</v>
      </c>
      <c r="E3817" s="4">
        <f>(((((((((-30.047958/(10/9))+-10.5)+-0.4)*0.98)*1.11)*0.85)-6.5)+3.2)+-0.3)+0.3</f>
        <v>-38.383386064985991</v>
      </c>
      <c r="F3817" s="4">
        <f>((-1.5778276*(1.3/1.5))*0.6)-0.3</f>
        <v>-1.1204703519999999</v>
      </c>
    </row>
    <row r="3818" spans="1:6" x14ac:dyDescent="0.4">
      <c r="A3818" s="4">
        <v>3339.0137999999997</v>
      </c>
      <c r="B3818" s="4">
        <v>1.4219135000000001</v>
      </c>
      <c r="C3818" s="4">
        <v>1.4344189000000001</v>
      </c>
      <c r="D3818" s="4">
        <v>-30.440991999999998</v>
      </c>
      <c r="E3818" s="4">
        <f>(((((((((-30.0604959/(10/9))+-10.5)+-0.4)*0.98)*1.11)*0.85)-6.5)+3.2)+-0.3)+0.3</f>
        <v>-38.393819691615299</v>
      </c>
      <c r="F3818" s="4">
        <f>((-1.5815312*(1.3/1.5))*0.6)-0.3</f>
        <v>-1.1223962240000001</v>
      </c>
    </row>
    <row r="3819" spans="1:6" x14ac:dyDescent="0.4">
      <c r="A3819" s="4">
        <v>3339.8887250000002</v>
      </c>
      <c r="B3819" s="4">
        <v>1.4217211000000001</v>
      </c>
      <c r="C3819" s="4">
        <v>1.4347922</v>
      </c>
      <c r="D3819" s="4">
        <v>-30.434639999999998</v>
      </c>
      <c r="E3819" s="4">
        <f>(((((((((-30.0314646/(10/9))+-10.5)+-0.4)*0.98)*1.11)*0.85)-6.5)+3.2)+-0.3)+0.3</f>
        <v>-38.369660801788193</v>
      </c>
      <c r="F3819" s="4">
        <f>((-1.5851671*(1.3/1.5))*0.6)-0.3</f>
        <v>-1.124286892</v>
      </c>
    </row>
    <row r="3820" spans="1:6" x14ac:dyDescent="0.4">
      <c r="A3820" s="4">
        <v>3340.7636499999999</v>
      </c>
      <c r="B3820" s="4">
        <v>1.4217607000000001</v>
      </c>
      <c r="C3820" s="4">
        <v>1.4351764</v>
      </c>
      <c r="D3820" s="4">
        <v>-30.427720000000001</v>
      </c>
      <c r="E3820" s="4">
        <f>(((((((((-30.0243888/(10/9))+-10.5)+-0.4)*0.98)*1.11)*0.85)-6.5)+3.2)+-0.3)+0.3</f>
        <v>-38.363772554529596</v>
      </c>
      <c r="F3820" s="4">
        <f>((-1.588642*(1.3/1.5))*0.6)-0.3</f>
        <v>-1.12609384</v>
      </c>
    </row>
    <row r="3821" spans="1:6" x14ac:dyDescent="0.4">
      <c r="A3821" s="4">
        <v>3341.6385750000004</v>
      </c>
      <c r="B3821" s="4">
        <v>1.4217465</v>
      </c>
      <c r="C3821" s="4">
        <v>1.4354686999999999</v>
      </c>
      <c r="D3821" s="4">
        <v>-30.420542999999999</v>
      </c>
      <c r="E3821" s="4">
        <f>(((((((((-30.0361131/(10/9))+-10.5)+-0.4)*0.98)*1.11)*0.85)-6.5)+3.2)+-0.3)+0.3</f>
        <v>-38.373529130087697</v>
      </c>
      <c r="F3821" s="4">
        <f>((-1.5920361*(1.3/1.5))*0.6)-0.3</f>
        <v>-1.127858772</v>
      </c>
    </row>
    <row r="3822" spans="1:6" x14ac:dyDescent="0.4">
      <c r="A3822" s="4">
        <v>3342.5135</v>
      </c>
      <c r="B3822" s="4">
        <v>1.4216442</v>
      </c>
      <c r="C3822" s="4">
        <v>1.4359831000000001</v>
      </c>
      <c r="D3822" s="4">
        <v>-30.413093</v>
      </c>
      <c r="E3822" s="4">
        <f>(((((((((-30.0322647/(10/9))+-10.5)+-0.4)*0.98)*1.11)*0.85)-6.5)+3.2)+-0.3)+0.3</f>
        <v>-38.370326618604899</v>
      </c>
      <c r="F3822" s="4">
        <f>((-1.595365*(1.3/1.5))*0.6)-0.3</f>
        <v>-1.1295898</v>
      </c>
    </row>
    <row r="3823" spans="1:6" x14ac:dyDescent="0.4">
      <c r="A3823" s="4">
        <v>3343.3884249999996</v>
      </c>
      <c r="B3823" s="4">
        <v>1.4217242000000001</v>
      </c>
      <c r="C3823" s="4">
        <v>1.4359857</v>
      </c>
      <c r="D3823" s="4">
        <v>-30.405338</v>
      </c>
      <c r="E3823" s="4">
        <f>(((((((((-30.0272625/(10/9))+-10.5)+-0.4)*0.98)*1.11)*0.85)-6.5)+3.2)+-0.3)+0.3</f>
        <v>-38.366163952837496</v>
      </c>
      <c r="F3823" s="4">
        <f>((-1.5986122*(1.3/1.5))*0.6)-0.3</f>
        <v>-1.131278344</v>
      </c>
    </row>
    <row r="3824" spans="1:6" x14ac:dyDescent="0.4">
      <c r="A3824" s="4">
        <v>3344.2633500000002</v>
      </c>
      <c r="B3824" s="4">
        <v>1.4219162000000001</v>
      </c>
      <c r="C3824" s="4">
        <v>1.4362427</v>
      </c>
      <c r="D3824" s="4">
        <v>-30.397759999999998</v>
      </c>
      <c r="E3824" s="4">
        <f>(((((((((-30.0254085/(10/9))+-10.5)+-0.4)*0.98)*1.11)*0.85)-6.5)+3.2)+-0.3)+0.3</f>
        <v>-38.364621115219492</v>
      </c>
      <c r="F3824" s="4">
        <f>((-1.601737*(1.3/1.5))*0.6)-0.3</f>
        <v>-1.1329032399999999</v>
      </c>
    </row>
    <row r="3825" spans="1:6" x14ac:dyDescent="0.4">
      <c r="A3825" s="4">
        <v>3345.1382749999998</v>
      </c>
      <c r="B3825" s="4">
        <v>1.4219306</v>
      </c>
      <c r="C3825" s="4">
        <v>1.4367616000000001</v>
      </c>
      <c r="D3825" s="4">
        <v>-30.390015999999999</v>
      </c>
      <c r="E3825" s="4">
        <f>(((((((((-30.0619413/(10/9))+-10.5)+-0.4)*0.98)*1.11)*0.85)-6.5)+3.2)+-0.3)+0.3</f>
        <v>-38.395022505797101</v>
      </c>
      <c r="F3825" s="4">
        <f>((-1.604688*(1.3/1.5))*0.6)-0.3</f>
        <v>-1.13443776</v>
      </c>
    </row>
    <row r="3826" spans="1:6" x14ac:dyDescent="0.4">
      <c r="A3826" s="4">
        <v>3346.0132000000003</v>
      </c>
      <c r="B3826" s="4">
        <v>1.421996</v>
      </c>
      <c r="C3826" s="4">
        <v>1.4368924999999999</v>
      </c>
      <c r="D3826" s="4">
        <v>-30.382037</v>
      </c>
      <c r="E3826" s="4">
        <f>(((((((((-30.0917007/(10/9))+-10.5)+-0.4)*0.98)*1.11)*0.85)-6.5)+3.2)+-0.3)+0.3</f>
        <v>-38.419787296416899</v>
      </c>
      <c r="F3826" s="4">
        <f>((-1.6075333*(1.3/1.5))*0.6)-0.3</f>
        <v>-1.135917316</v>
      </c>
    </row>
    <row r="3827" spans="1:6" x14ac:dyDescent="0.4">
      <c r="A3827" s="4">
        <v>3346.8881249999999</v>
      </c>
      <c r="B3827" s="4">
        <v>1.4222724</v>
      </c>
      <c r="C3827" s="4">
        <v>1.4371548999999999</v>
      </c>
      <c r="D3827" s="4">
        <v>-30.374116000000001</v>
      </c>
      <c r="E3827" s="4">
        <f>(((((((((-30.0279348/(10/9))+-10.5)+-0.4)*0.98)*1.11)*0.85)-6.5)+3.2)+-0.3)+0.3</f>
        <v>-38.366723418711601</v>
      </c>
      <c r="F3827" s="4">
        <f>((-1.6101767*(1.3/1.5))*0.6)-0.3</f>
        <v>-1.1372918839999999</v>
      </c>
    </row>
    <row r="3828" spans="1:6" x14ac:dyDescent="0.4">
      <c r="A3828" s="4">
        <v>3347.76305</v>
      </c>
      <c r="B3828" s="4">
        <v>1.4220033999999999</v>
      </c>
      <c r="C3828" s="4">
        <v>1.4370430000000001</v>
      </c>
      <c r="D3828" s="4">
        <v>-30.365812999999999</v>
      </c>
      <c r="E3828" s="4">
        <f>(((((((((-30.0474396/(10/9))+-10.5)+-0.4)*0.98)*1.11)*0.85)-6.5)+3.2)+-0.3)+0.3</f>
        <v>-38.382954669613198</v>
      </c>
      <c r="F3828" s="4">
        <f>((-1.6127504*(1.3/1.5))*0.6)-0.3</f>
        <v>-1.1386302079999999</v>
      </c>
    </row>
    <row r="3829" spans="1:6" x14ac:dyDescent="0.4">
      <c r="A3829" s="4">
        <v>3348.6379750000001</v>
      </c>
      <c r="B3829" s="4">
        <v>1.4223112</v>
      </c>
      <c r="C3829" s="4">
        <v>1.4374362000000001</v>
      </c>
      <c r="D3829" s="4">
        <v>-30.357934</v>
      </c>
      <c r="E3829" s="4">
        <f>(((((((((-30.0595311/(10/9))+-10.5)+-0.4)*0.98)*1.11)*0.85)-6.5)+3.2)+-0.3)+0.3</f>
        <v>-38.393016816893699</v>
      </c>
      <c r="F3829" s="4">
        <f>((-1.6150976*(1.3/1.5))*0.6)-0.3</f>
        <v>-1.1398507520000001</v>
      </c>
    </row>
    <row r="3830" spans="1:6" x14ac:dyDescent="0.4">
      <c r="A3830" s="4">
        <v>3349.5128999999997</v>
      </c>
      <c r="B3830" s="4">
        <v>1.4222581000000001</v>
      </c>
      <c r="C3830" s="4">
        <v>1.4374963000000001</v>
      </c>
      <c r="D3830" s="4">
        <v>-30.349767</v>
      </c>
      <c r="E3830" s="4">
        <f>(((((((((-30.0538557/(10/9))+-10.5)+-0.4)*0.98)*1.11)*0.85)-6.5)+3.2)+-0.3)+0.3</f>
        <v>-38.388293936301899</v>
      </c>
      <c r="F3830" s="4">
        <f>((-1.6172926*(1.3/1.5))*0.6)-0.3</f>
        <v>-1.1409921520000001</v>
      </c>
    </row>
    <row r="3831" spans="1:6" x14ac:dyDescent="0.4">
      <c r="A3831" s="4">
        <v>3350.3878250000002</v>
      </c>
      <c r="B3831" s="4">
        <v>1.4220189000000001</v>
      </c>
      <c r="C3831" s="4">
        <v>1.4376841</v>
      </c>
      <c r="D3831" s="4">
        <v>-30.341943000000001</v>
      </c>
      <c r="E3831" s="4">
        <f>(((((((((-30.0739023/(10/9))+-10.5)+-0.4)*0.98)*1.11)*0.85)-6.5)+3.2)+-0.3)+0.3</f>
        <v>-38.404976055284102</v>
      </c>
      <c r="F3831" s="4">
        <f>((-1.6192977*(1.3/1.5))*0.6)-0.3</f>
        <v>-1.1420348039999999</v>
      </c>
    </row>
    <row r="3832" spans="1:6" x14ac:dyDescent="0.4">
      <c r="A3832" s="4">
        <v>3351.2627499999999</v>
      </c>
      <c r="B3832" s="4">
        <v>1.4217896000000001</v>
      </c>
      <c r="C3832" s="4">
        <v>1.4380708</v>
      </c>
      <c r="D3832" s="4">
        <v>-30.333831</v>
      </c>
      <c r="E3832" s="4">
        <f>(((((((((-30.0751587/(10/9))+-10.5)+-0.4)*0.98)*1.11)*0.85)-6.5)+3.2)+-0.3)+0.3</f>
        <v>-38.406021589902892</v>
      </c>
      <c r="F3832" s="4">
        <f>((-1.6210417*(1.3/1.5))*0.6)-0.3</f>
        <v>-1.142941684</v>
      </c>
    </row>
    <row r="3833" spans="1:6" x14ac:dyDescent="0.4">
      <c r="A3833" s="4">
        <v>3352.1376749999999</v>
      </c>
      <c r="B3833" s="4">
        <v>1.4220463999999999</v>
      </c>
      <c r="C3833" s="4">
        <v>1.4384517999999999</v>
      </c>
      <c r="D3833" s="4">
        <v>-30.325744</v>
      </c>
      <c r="E3833" s="4">
        <f>(((((((((-30.083265/(10/9))+-10.5)+-0.4)*0.98)*1.11)*0.85)-6.5)+3.2)+-0.3)+0.3</f>
        <v>-38.412767385255002</v>
      </c>
      <c r="F3833" s="4">
        <f>((-1.6225476*(1.3/1.5))*0.6)-0.3</f>
        <v>-1.143724752</v>
      </c>
    </row>
    <row r="3834" spans="1:6" x14ac:dyDescent="0.4">
      <c r="A3834" s="4">
        <v>3353.0126</v>
      </c>
      <c r="B3834" s="4">
        <v>1.4221585999999999</v>
      </c>
      <c r="C3834" s="4">
        <v>1.4385204</v>
      </c>
      <c r="D3834" s="4">
        <v>-30.318331999999998</v>
      </c>
      <c r="E3834" s="4">
        <f>(((((((((-30.1050621/(10/9))+-10.5)+-0.4)*0.98)*1.11)*0.85)-6.5)+3.2)+-0.3)+0.3</f>
        <v>-38.43090621257069</v>
      </c>
      <c r="F3834" s="4">
        <f>((-1.6237862*(1.3/1.5))*0.6)-0.3</f>
        <v>-1.1443688240000001</v>
      </c>
    </row>
    <row r="3835" spans="1:6" x14ac:dyDescent="0.4">
      <c r="A3835" s="4">
        <v>3353.8875250000001</v>
      </c>
      <c r="B3835" s="4">
        <v>1.4220463000000001</v>
      </c>
      <c r="C3835" s="4">
        <v>1.4386352</v>
      </c>
      <c r="D3835" s="4">
        <v>-30.310941</v>
      </c>
      <c r="E3835" s="4">
        <f>(((((((((-30.0951783/(10/9))+-10.5)+-0.4)*0.98)*1.11)*0.85)-6.5)+3.2)+-0.3)+0.3</f>
        <v>-38.4226812403761</v>
      </c>
      <c r="F3835" s="4">
        <f>((-1.6248134*(1.3/1.5))*0.6)-0.3</f>
        <v>-1.144902968</v>
      </c>
    </row>
    <row r="3836" spans="1:6" x14ac:dyDescent="0.4">
      <c r="A3836" s="4">
        <v>3354.7624500000002</v>
      </c>
      <c r="B3836" s="4">
        <v>1.4222598</v>
      </c>
      <c r="C3836" s="4">
        <v>1.4387382</v>
      </c>
      <c r="D3836" s="4">
        <v>-30.303086</v>
      </c>
      <c r="E3836" s="4">
        <f>(((((((((-30.089448/(10/9))+-10.5)+-0.4)*0.98)*1.11)*0.85)-6.5)+3.2)+-0.3)+0.3</f>
        <v>-38.417912673815991</v>
      </c>
      <c r="F3836" s="4">
        <f>((-1.6256399*(1.3/1.5))*0.6)-0.3</f>
        <v>-1.145332748</v>
      </c>
    </row>
    <row r="3837" spans="1:6" x14ac:dyDescent="0.4">
      <c r="A3837" s="4">
        <v>3355.6373749999998</v>
      </c>
      <c r="B3837" s="4">
        <v>1.4223039</v>
      </c>
      <c r="C3837" s="4">
        <v>1.4384068000000001</v>
      </c>
      <c r="D3837" s="4">
        <v>-30.295517999999998</v>
      </c>
      <c r="E3837" s="4">
        <f>(((((((((-30.0992706/(10/9))+-10.5)+-0.4)*0.98)*1.11)*0.85)-6.5)+3.2)+-0.3)+0.3</f>
        <v>-38.426086717390199</v>
      </c>
      <c r="F3837" s="4">
        <f>((-1.6261363*(1.3/1.5))*0.6)-0.3</f>
        <v>-1.145590876</v>
      </c>
    </row>
    <row r="3838" spans="1:6" x14ac:dyDescent="0.4">
      <c r="A3838" s="4">
        <v>3356.5122999999999</v>
      </c>
      <c r="B3838" s="4">
        <v>1.4223473</v>
      </c>
      <c r="C3838" s="4">
        <v>1.4387350000000001</v>
      </c>
      <c r="D3838" s="4">
        <v>-30.288195999999999</v>
      </c>
      <c r="E3838" s="4">
        <f>(((((((((-30.0872268/(10/9))+-10.5)+-0.4)*0.98)*1.11)*0.85)-6.5)+3.2)+-0.3)+0.3</f>
        <v>-38.416064264475594</v>
      </c>
      <c r="F3838" s="4">
        <f>((-1.626423*(1.3/1.5))*0.6)-0.3</f>
        <v>-1.14573996</v>
      </c>
    </row>
    <row r="3839" spans="1:6" x14ac:dyDescent="0.4">
      <c r="A3839" s="4">
        <v>3357.3872249999999</v>
      </c>
      <c r="B3839" s="4">
        <v>1.4223874000000001</v>
      </c>
      <c r="C3839" s="4">
        <v>1.4385931000000001</v>
      </c>
      <c r="D3839" s="4">
        <v>-30.280647999999999</v>
      </c>
      <c r="E3839" s="4">
        <f>(((((((((-30.1013784/(10/9))+-10.5)+-0.4)*0.98)*1.11)*0.85)-6.5)+3.2)+-0.3)+0.3</f>
        <v>-38.427840758992801</v>
      </c>
      <c r="F3839" s="4">
        <f>((-1.6264602*(1.3/1.5))*0.6)-0.3</f>
        <v>-1.1457593039999998</v>
      </c>
    </row>
    <row r="3840" spans="1:6" x14ac:dyDescent="0.4">
      <c r="A3840" s="4">
        <v>3358.26215</v>
      </c>
      <c r="B3840" s="4">
        <v>1.4221976000000001</v>
      </c>
      <c r="C3840" s="4">
        <v>1.4380012</v>
      </c>
      <c r="D3840" s="4">
        <v>-30.273837</v>
      </c>
      <c r="E3840" s="4">
        <f>(((((((((-30.1057353/(10/9))+-10.5)+-0.4)*0.98)*1.11)*0.85)-6.5)+3.2)+-0.3)+0.3</f>
        <v>-38.431466427395094</v>
      </c>
      <c r="F3840" s="4">
        <f>((-1.6263181*(1.3/1.5))*0.6)-0.3</f>
        <v>-1.145685412</v>
      </c>
    </row>
    <row r="3841" spans="1:6" x14ac:dyDescent="0.4">
      <c r="A3841" s="4">
        <v>3359.1370750000001</v>
      </c>
      <c r="B3841" s="4">
        <v>1.4220769</v>
      </c>
      <c r="C3841" s="4">
        <v>1.4381793</v>
      </c>
      <c r="D3841" s="4">
        <v>-30.267142</v>
      </c>
      <c r="E3841" s="4">
        <f>(((((((((-30.0858435/(10/9))+-10.5)+-0.4)*0.98)*1.11)*0.85)-6.5)+3.2)+-0.3)+0.3</f>
        <v>-38.414913127864502</v>
      </c>
      <c r="F3841" s="4">
        <f>((-1.626006*(1.3/1.5))*0.6)-0.3</f>
        <v>-1.14552312</v>
      </c>
    </row>
    <row r="3842" spans="1:6" x14ac:dyDescent="0.4">
      <c r="A3842" s="4">
        <v>3360.0120000000002</v>
      </c>
      <c r="B3842" s="4">
        <v>1.4223589000000001</v>
      </c>
      <c r="C3842" s="4">
        <v>1.4379782999999999</v>
      </c>
      <c r="D3842" s="4">
        <v>-30.260831</v>
      </c>
      <c r="E3842" s="4">
        <f>(((((((((-30.0823173/(10/9))+-10.5)+-0.4)*0.98)*1.11)*0.85)-6.5)+3.2)+-0.3)+0.3</f>
        <v>-38.411978740589092</v>
      </c>
      <c r="F3842" s="4">
        <f>((-1.625361*(1.3/1.5))*0.6)-0.3</f>
        <v>-1.14518772</v>
      </c>
    </row>
    <row r="3843" spans="1:6" x14ac:dyDescent="0.4">
      <c r="A3843" s="4">
        <v>3360.8869249999998</v>
      </c>
      <c r="B3843" s="4">
        <v>1.4224439</v>
      </c>
      <c r="C3843" s="4">
        <v>1.4376987999999999</v>
      </c>
      <c r="D3843" s="4">
        <v>-30.254760000000001</v>
      </c>
      <c r="E3843" s="4">
        <f>(((((((((-30.0733776/(10/9))+-10.5)+-0.4)*0.98)*1.11)*0.85)-6.5)+3.2)+-0.3)+0.3</f>
        <v>-38.404539417259201</v>
      </c>
      <c r="F3843" s="4">
        <f>((-1.6244694*(1.3/1.5))*0.6)-0.3</f>
        <v>-1.1447240879999998</v>
      </c>
    </row>
    <row r="3844" spans="1:6" x14ac:dyDescent="0.4">
      <c r="A3844" s="4">
        <v>3361.7618499999999</v>
      </c>
      <c r="B3844" s="4">
        <v>1.4221615999999999</v>
      </c>
      <c r="C3844" s="4">
        <v>1.4373525</v>
      </c>
      <c r="D3844" s="4">
        <v>-30.248552999999998</v>
      </c>
      <c r="E3844" s="4">
        <f>(((((((((-30.0987729/(10/9))+-10.5)+-0.4)*0.98)*1.11)*0.85)-6.5)+3.2)+-0.3)+0.3</f>
        <v>-38.425672547874292</v>
      </c>
      <c r="F3844" s="4">
        <f>((-1.6232116*(1.3/1.5))*0.6)-0.3</f>
        <v>-1.1440700320000001</v>
      </c>
    </row>
    <row r="3845" spans="1:6" x14ac:dyDescent="0.4">
      <c r="A3845" s="4">
        <v>3362.6367749999999</v>
      </c>
      <c r="B3845" s="4">
        <v>1.4219514</v>
      </c>
      <c r="C3845" s="4">
        <v>1.4366226</v>
      </c>
      <c r="D3845" s="4">
        <v>-30.243299</v>
      </c>
      <c r="E3845" s="4">
        <f>(((((((((-30.104685/(10/9))+-10.5)+-0.4)*0.98)*1.11)*0.85)-6.5)+3.2)+-0.3)+0.3</f>
        <v>-38.430592402395</v>
      </c>
      <c r="F3845" s="4">
        <f>((-1.6217235*(1.3/1.5))*0.6)-0.3</f>
        <v>-1.1432962200000001</v>
      </c>
    </row>
    <row r="3846" spans="1:6" x14ac:dyDescent="0.4">
      <c r="A3846" s="4">
        <v>3363.5117</v>
      </c>
      <c r="B3846" s="4">
        <v>1.421996</v>
      </c>
      <c r="C3846" s="4">
        <v>1.4364777</v>
      </c>
      <c r="D3846" s="4">
        <v>-30.238166</v>
      </c>
      <c r="E3846" s="4">
        <f>(((((((((-30.1069782/(10/9))+-10.5)+-0.4)*0.98)*1.11)*0.85)-6.5)+3.2)+-0.3)+0.3</f>
        <v>-38.43250072775939</v>
      </c>
      <c r="F3846" s="4">
        <f>((-1.6200365*(1.3/1.5))*0.6)-0.3</f>
        <v>-1.14241898</v>
      </c>
    </row>
    <row r="3847" spans="1:6" x14ac:dyDescent="0.4">
      <c r="A3847" s="4">
        <v>3364.3866250000001</v>
      </c>
      <c r="B3847" s="4">
        <v>1.4224029</v>
      </c>
      <c r="C3847" s="4">
        <v>1.4365287</v>
      </c>
      <c r="D3847" s="4">
        <v>-30.232994999999999</v>
      </c>
      <c r="E3847" s="4">
        <f>(((((((((-30.1164777/(10/9))+-10.5)+-0.4)*0.98)*1.11)*0.85)-6.5)+3.2)+-0.3)+0.3</f>
        <v>-38.440405898175896</v>
      </c>
      <c r="F3847" s="4">
        <f>((-1.618125*(1.3/1.5))*0.6)-0.3</f>
        <v>-1.1414250000000001</v>
      </c>
    </row>
    <row r="3848" spans="1:6" x14ac:dyDescent="0.4">
      <c r="A3848" s="4">
        <v>3365.2615499999997</v>
      </c>
      <c r="B3848" s="4">
        <v>1.4220984000000001</v>
      </c>
      <c r="C3848" s="4">
        <v>1.4367278000000001</v>
      </c>
      <c r="D3848" s="4">
        <v>-30.228666999999998</v>
      </c>
      <c r="E3848" s="4">
        <f>(((((((((-30.1288482/(10/9))+-10.5)+-0.4)*0.98)*1.11)*0.85)-6.5)+3.2)+-0.3)+0.3</f>
        <v>-38.450700220049391</v>
      </c>
      <c r="F3848" s="4">
        <f>((-1.6159831*(1.3/1.5))*0.6)-0.3</f>
        <v>-1.1403112120000001</v>
      </c>
    </row>
    <row r="3849" spans="1:6" x14ac:dyDescent="0.4">
      <c r="A3849" s="4">
        <v>3366.1364750000002</v>
      </c>
      <c r="B3849" s="4">
        <v>1.4220705</v>
      </c>
      <c r="C3849" s="4">
        <v>1.437392</v>
      </c>
      <c r="D3849" s="4">
        <v>-30.224878</v>
      </c>
      <c r="E3849" s="4">
        <f>(((((((((-30.1333077/(10/9))+-10.5)+-0.4)*0.98)*1.11)*0.85)-6.5)+3.2)+-0.3)+0.3</f>
        <v>-38.454411268785904</v>
      </c>
      <c r="F3849" s="4">
        <f>((-1.6135904*(1.3/1.5))*0.6)-0.3</f>
        <v>-1.139067008</v>
      </c>
    </row>
    <row r="3850" spans="1:6" x14ac:dyDescent="0.4">
      <c r="A3850" s="4">
        <v>3367.0113999999999</v>
      </c>
      <c r="B3850" s="4">
        <v>1.4221182999999999</v>
      </c>
      <c r="C3850" s="4">
        <v>1.4375922999999999</v>
      </c>
      <c r="D3850" s="4">
        <v>-30.221733999999998</v>
      </c>
      <c r="E3850" s="4">
        <f>(((((((((-30.1215006/(10/9))+-10.5)+-0.4)*0.98)*1.11)*0.85)-6.5)+3.2)+-0.3)+0.3</f>
        <v>-38.4445857898002</v>
      </c>
      <c r="F3850" s="4">
        <f>((-1.6110295*(1.3/1.5))*0.6)-0.3</f>
        <v>-1.1377353399999999</v>
      </c>
    </row>
    <row r="3851" spans="1:6" x14ac:dyDescent="0.4">
      <c r="A3851" s="4">
        <v>3367.8863250000004</v>
      </c>
      <c r="B3851" s="4">
        <v>1.4223315000000001</v>
      </c>
      <c r="C3851" s="4">
        <v>1.4375974</v>
      </c>
      <c r="D3851" s="4">
        <v>-30.218636999999998</v>
      </c>
      <c r="E3851" s="4">
        <f>(((((((((-30.1160727/(10/9))+-10.5)+-0.4)*0.98)*1.11)*0.85)-6.5)+3.2)+-0.3)+0.3</f>
        <v>-38.440068870540891</v>
      </c>
      <c r="F3851" s="4">
        <f>((-1.6082619*(1.3/1.5))*0.6)-0.3</f>
        <v>-1.136296188</v>
      </c>
    </row>
    <row r="3852" spans="1:6" x14ac:dyDescent="0.4">
      <c r="A3852" s="4">
        <v>3368.76125</v>
      </c>
      <c r="B3852" s="4">
        <v>1.4223619999999999</v>
      </c>
      <c r="C3852" s="4">
        <v>1.437632</v>
      </c>
      <c r="D3852" s="4">
        <v>-30.216131999999998</v>
      </c>
      <c r="E3852" s="4">
        <f>(((((((((-30.099834/(10/9))+-10.5)+-0.4)*0.98)*1.11)*0.85)-6.5)+3.2)+-0.3)+0.3</f>
        <v>-38.426555560277997</v>
      </c>
      <c r="F3852" s="4">
        <f>((-1.6052949*(1.3/1.5))*0.6)-0.3</f>
        <v>-1.1347533480000001</v>
      </c>
    </row>
    <row r="3853" spans="1:6" x14ac:dyDescent="0.4">
      <c r="A3853" s="4">
        <v>3369.6361749999996</v>
      </c>
      <c r="B3853" s="4">
        <v>1.4220828000000001</v>
      </c>
      <c r="C3853" s="4">
        <v>1.4376142000000001</v>
      </c>
      <c r="D3853" s="4">
        <v>-30.213785999999999</v>
      </c>
      <c r="E3853" s="4">
        <f>(((((((((-30.1333149/(10/9))+-10.5)+-0.4)*0.98)*1.11)*0.85)-6.5)+3.2)+-0.3)+0.3</f>
        <v>-38.45441726038829</v>
      </c>
      <c r="F3853" s="4">
        <f>((-1.6021404*(1.3/1.5))*0.6)-0.3</f>
        <v>-1.133113008</v>
      </c>
    </row>
    <row r="3854" spans="1:6" x14ac:dyDescent="0.4">
      <c r="A3854" s="4">
        <v>3370.5111000000002</v>
      </c>
      <c r="B3854" s="4">
        <v>1.4220619999999999</v>
      </c>
      <c r="C3854" s="4">
        <v>1.4372351999999999</v>
      </c>
      <c r="D3854" s="4">
        <v>-30.212014</v>
      </c>
      <c r="E3854" s="4">
        <f>(((((((((-30.1275225/(10/9))+-10.5)+-0.4)*0.98)*1.11)*0.85)-6.5)+3.2)+-0.3)+0.3</f>
        <v>-38.449597016257499</v>
      </c>
      <c r="F3854" s="4">
        <f>((-1.5988064*(1.3/1.5))*0.6)-0.3</f>
        <v>-1.131379328</v>
      </c>
    </row>
    <row r="3855" spans="1:6" x14ac:dyDescent="0.4">
      <c r="A3855" s="4">
        <v>3371.3860249999998</v>
      </c>
      <c r="B3855" s="4">
        <v>1.4220347</v>
      </c>
      <c r="C3855" s="4">
        <v>1.4364451</v>
      </c>
      <c r="D3855" s="4">
        <v>-30.210984</v>
      </c>
      <c r="E3855" s="4">
        <f>(((((((((-30.113532/(10/9))+-10.5)+-0.4)*0.98)*1.11)*0.85)-6.5)+3.2)+-0.3)+0.3</f>
        <v>-38.437954583843997</v>
      </c>
      <c r="F3855" s="4">
        <f>((-1.5952665*(1.3/1.5))*0.6)-0.3</f>
        <v>-1.12953858</v>
      </c>
    </row>
    <row r="3856" spans="1:6" x14ac:dyDescent="0.4">
      <c r="A3856" s="4">
        <v>3372.2609500000003</v>
      </c>
      <c r="B3856" s="4">
        <v>1.4222938000000001</v>
      </c>
      <c r="C3856" s="4">
        <v>1.4358149</v>
      </c>
      <c r="D3856" s="4">
        <v>-30.21021</v>
      </c>
      <c r="E3856" s="4">
        <f>(((((((((-30.110346/(10/9))+-10.5)+-0.4)*0.98)*1.11)*0.85)-6.5)+3.2)+-0.3)+0.3</f>
        <v>-38.435303299781992</v>
      </c>
      <c r="F3856" s="4">
        <f>((-1.5915136*(1.3/1.5))*0.6)-0.3</f>
        <v>-1.1275870720000001</v>
      </c>
    </row>
    <row r="3857" spans="1:6" x14ac:dyDescent="0.4">
      <c r="A3857" s="4">
        <v>3373.1358749999999</v>
      </c>
      <c r="B3857" s="4">
        <v>1.4220824999999999</v>
      </c>
      <c r="C3857" s="4">
        <v>1.4351305999999999</v>
      </c>
      <c r="D3857" s="4">
        <v>-30.209878</v>
      </c>
      <c r="E3857" s="4">
        <f>(((((((((-30.1176864/(10/9))+-10.5)+-0.4)*0.98)*1.11)*0.85)-6.5)+3.2)+-0.3)+0.3</f>
        <v>-38.441411738428798</v>
      </c>
      <c r="F3857" s="4">
        <f>((-1.5875809*(1.3/1.5))*0.6)-0.3</f>
        <v>-1.1255420680000001</v>
      </c>
    </row>
    <row r="3858" spans="1:6" x14ac:dyDescent="0.4">
      <c r="A3858" s="4">
        <v>3374.0108</v>
      </c>
      <c r="B3858" s="4">
        <v>1.4223509999999999</v>
      </c>
      <c r="C3858" s="4">
        <v>1.4349437</v>
      </c>
      <c r="D3858" s="4">
        <v>-30.20984</v>
      </c>
      <c r="E3858" s="4">
        <f>(((((((((-30.1190733/(10/9))+-10.5)+-0.4)*0.98)*1.11)*0.85)-6.5)+3.2)+-0.3)+0.3</f>
        <v>-38.442565870841094</v>
      </c>
      <c r="F3858" s="4">
        <f>((-1.5835*(1.3/1.5))*0.6)-0.3</f>
        <v>-1.1234200000000001</v>
      </c>
    </row>
    <row r="3859" spans="1:6" x14ac:dyDescent="0.4">
      <c r="A3859" s="4">
        <v>3374.8857250000001</v>
      </c>
      <c r="B3859" s="4">
        <v>1.4219644</v>
      </c>
      <c r="C3859" s="4">
        <v>1.4348863000000001</v>
      </c>
      <c r="D3859" s="4">
        <v>-30.210231</v>
      </c>
      <c r="E3859" s="4">
        <f>(((((((((-30.1074516/(10/9))+-10.5)+-0.4)*0.98)*1.11)*0.85)-6.5)+3.2)+-0.3)+0.3</f>
        <v>-38.432894675617199</v>
      </c>
      <c r="F3859" s="4">
        <f>((-1.5793002*(1.3/1.5))*0.6)-0.3</f>
        <v>-1.1212361040000001</v>
      </c>
    </row>
    <row r="3860" spans="1:6" x14ac:dyDescent="0.4">
      <c r="A3860" s="4">
        <v>3375.7606499999997</v>
      </c>
      <c r="B3860" s="4">
        <v>1.4220786999999999</v>
      </c>
      <c r="C3860" s="4">
        <v>1.4348415000000001</v>
      </c>
      <c r="D3860" s="4">
        <v>-30.211220999999998</v>
      </c>
      <c r="E3860" s="4">
        <f>(((((((((-30.1273128/(10/9))+-10.5)+-0.4)*0.98)*1.11)*0.85)-6.5)+3.2)+-0.3)+0.3</f>
        <v>-38.4494225108376</v>
      </c>
      <c r="F3860" s="4">
        <f>((-1.5750904*(1.3/1.5))*0.6)-0.3</f>
        <v>-1.1190470079999999</v>
      </c>
    </row>
    <row r="3861" spans="1:6" x14ac:dyDescent="0.4">
      <c r="A3861" s="4">
        <v>3376.6355750000002</v>
      </c>
      <c r="B3861" s="4">
        <v>1.4221904000000001</v>
      </c>
      <c r="C3861" s="4">
        <v>1.4350579999999999</v>
      </c>
      <c r="D3861" s="4">
        <v>-30.212814999999999</v>
      </c>
      <c r="E3861" s="4">
        <f>(((((((((-30.1043313/(10/9))+-10.5)+-0.4)*0.98)*1.11)*0.85)-6.5)+3.2)+-0.3)+0.3</f>
        <v>-38.430298064927094</v>
      </c>
      <c r="F3861" s="4">
        <f>((-1.5707998*(1.3/1.5))*0.6)-0.3</f>
        <v>-1.1168158960000001</v>
      </c>
    </row>
    <row r="3862" spans="1:6" x14ac:dyDescent="0.4">
      <c r="A3862" s="4">
        <v>3377.5104999999999</v>
      </c>
      <c r="B3862" s="4">
        <v>1.4218866999999999</v>
      </c>
      <c r="C3862" s="4">
        <v>1.4347006</v>
      </c>
      <c r="D3862" s="4">
        <v>-30.214963000000001</v>
      </c>
      <c r="E3862" s="4">
        <f>(((((((((-30.1233069/(10/9))+-10.5)+-0.4)*0.98)*1.11)*0.85)-6.5)+3.2)+-0.3)+0.3</f>
        <v>-38.446088933052287</v>
      </c>
      <c r="F3862" s="4">
        <f>((-1.5665267*(1.3/1.5))*0.6)-0.3</f>
        <v>-1.114593884</v>
      </c>
    </row>
    <row r="3863" spans="1:6" x14ac:dyDescent="0.4">
      <c r="A3863" s="4">
        <v>3378.3854249999999</v>
      </c>
      <c r="B3863" s="4">
        <v>1.4218843000000001</v>
      </c>
      <c r="C3863" s="4">
        <v>1.4351438000000001</v>
      </c>
      <c r="D3863" s="4">
        <v>-30.217627999999998</v>
      </c>
      <c r="E3863" s="4">
        <f>(((((((((-30.1180437/(10/9))+-10.5)+-0.4)*0.98)*1.11)*0.85)-6.5)+3.2)+-0.3)+0.3</f>
        <v>-38.441709071697893</v>
      </c>
      <c r="F3863" s="4">
        <f>((-1.5621538*(1.3/1.5))*0.6)-0.3</f>
        <v>-1.112319976</v>
      </c>
    </row>
    <row r="3864" spans="1:6" x14ac:dyDescent="0.4">
      <c r="A3864" s="4">
        <v>3379.26035</v>
      </c>
      <c r="B3864" s="4">
        <v>1.4218211000000001</v>
      </c>
      <c r="C3864" s="4">
        <v>1.4356509</v>
      </c>
      <c r="D3864" s="4">
        <v>-30.220745999999998</v>
      </c>
      <c r="E3864" s="4">
        <f>(((((((((-30.1201722/(10/9))+-10.5)+-0.4)*0.98)*1.11)*0.85)-6.5)+3.2)+-0.3)+0.3</f>
        <v>-38.443480339157396</v>
      </c>
      <c r="F3864" s="4">
        <f>((-1.557704*(1.3/1.5))*0.6)-0.3</f>
        <v>-1.11000608</v>
      </c>
    </row>
    <row r="3865" spans="1:6" x14ac:dyDescent="0.4">
      <c r="A3865" s="4">
        <v>3380.1352750000001</v>
      </c>
      <c r="B3865" s="4">
        <v>1.4218777</v>
      </c>
      <c r="C3865" s="4">
        <v>1.4363710000000001</v>
      </c>
      <c r="D3865" s="4">
        <v>-30.223839999999999</v>
      </c>
      <c r="E3865" s="4">
        <f>(((((((((-30.1074966/(10/9))+-10.5)+-0.4)*0.98)*1.11)*0.85)-6.5)+3.2)+-0.3)+0.3</f>
        <v>-38.432932123132197</v>
      </c>
      <c r="F3865" s="4">
        <f>((-1.5532057*(1.3/1.5))*0.6)-0.3</f>
        <v>-1.1076669640000001</v>
      </c>
    </row>
    <row r="3866" spans="1:6" x14ac:dyDescent="0.4">
      <c r="A3866" s="4">
        <v>3381.0102000000002</v>
      </c>
      <c r="B3866" s="4">
        <v>1.4219421000000001</v>
      </c>
      <c r="C3866" s="4">
        <v>1.4361058</v>
      </c>
      <c r="D3866" s="4">
        <v>-30.227574999999998</v>
      </c>
      <c r="E3866" s="4">
        <f>(((((((((-30.1136625/(10/9))+-10.5)+-0.4)*0.98)*1.11)*0.85)-6.5)+3.2)+-0.3)+0.3</f>
        <v>-38.438063181637489</v>
      </c>
      <c r="F3866" s="4">
        <f>((-1.5486784*(1.3/1.5))*0.6)-0.3</f>
        <v>-1.1053127679999999</v>
      </c>
    </row>
    <row r="3867" spans="1:6" x14ac:dyDescent="0.4">
      <c r="A3867" s="4">
        <v>3381.8851249999998</v>
      </c>
      <c r="B3867" s="4">
        <v>1.4218576000000001</v>
      </c>
      <c r="C3867" s="4">
        <v>1.4362804</v>
      </c>
      <c r="D3867" s="4">
        <v>-30.231829999999999</v>
      </c>
      <c r="E3867" s="4">
        <f>(((((((((-30.116313/(10/9))+-10.5)+-0.4)*0.98)*1.11)*0.85)-6.5)+3.2)+-0.3)+0.3</f>
        <v>-38.440268840270996</v>
      </c>
      <c r="F3867" s="4">
        <f>((-1.5441236*(1.3/1.5))*0.6)-0.3</f>
        <v>-1.102944272</v>
      </c>
    </row>
    <row r="3868" spans="1:6" x14ac:dyDescent="0.4">
      <c r="A3868" s="4">
        <v>3382.7600499999999</v>
      </c>
      <c r="B3868" s="4">
        <v>1.4215424999999999</v>
      </c>
      <c r="C3868" s="4">
        <v>1.4360253999999999</v>
      </c>
      <c r="D3868" s="4">
        <v>-30.236588999999999</v>
      </c>
      <c r="E3868" s="4">
        <f>(((((((((-30.0958029/(10/9))+-10.5)+-0.4)*0.98)*1.11)*0.85)-6.5)+3.2)+-0.3)+0.3</f>
        <v>-38.423201011884288</v>
      </c>
      <c r="F3868" s="4">
        <f>((-1.5395532*(1.3/1.5))*0.6)-0.3</f>
        <v>-1.1005676640000002</v>
      </c>
    </row>
    <row r="3869" spans="1:6" x14ac:dyDescent="0.4">
      <c r="A3869" s="4">
        <v>3383.6349749999999</v>
      </c>
      <c r="B3869" s="4">
        <v>1.4215952999999999</v>
      </c>
      <c r="C3869" s="4">
        <v>1.4364566000000001</v>
      </c>
      <c r="D3869" s="4">
        <v>-30.241809</v>
      </c>
      <c r="E3869" s="4">
        <f>(((((((((-30.0871755/(10/9))+-10.5)+-0.4)*0.98)*1.11)*0.85)-6.5)+3.2)+-0.3)+0.3</f>
        <v>-38.416021574308502</v>
      </c>
      <c r="F3869" s="4">
        <f>((-1.5350072*(1.3/1.5))*0.6)-0.3</f>
        <v>-1.0982037439999999</v>
      </c>
    </row>
    <row r="3870" spans="1:6" x14ac:dyDescent="0.4">
      <c r="A3870" s="4">
        <v>3384.5099</v>
      </c>
      <c r="B3870" s="4">
        <v>1.4215226999999999</v>
      </c>
      <c r="C3870" s="4">
        <v>1.4369362999999999</v>
      </c>
      <c r="D3870" s="4">
        <v>-30.247429999999998</v>
      </c>
      <c r="E3870" s="4">
        <f>(((((((((-30.0876084/(10/9))+-10.5)+-0.4)*0.98)*1.11)*0.85)-6.5)+3.2)+-0.3)+0.3</f>
        <v>-38.416381819402801</v>
      </c>
      <c r="F3870" s="4">
        <f>((-1.5305324*(1.3/1.5))*0.6)-0.3</f>
        <v>-1.0958768480000001</v>
      </c>
    </row>
    <row r="3871" spans="1:6" x14ac:dyDescent="0.4">
      <c r="A3871" s="4">
        <v>3385.3848250000001</v>
      </c>
      <c r="B3871" s="4">
        <v>1.4216743999999999</v>
      </c>
      <c r="C3871" s="4">
        <v>1.4371119999999999</v>
      </c>
      <c r="D3871" s="4">
        <v>-30.252787999999999</v>
      </c>
      <c r="E3871" s="4">
        <f>(((((((((-30.057111/(10/9))+-10.5)+-0.4)*0.98)*1.11)*0.85)-6.5)+3.2)+-0.3)+0.3</f>
        <v>-38.391002889536992</v>
      </c>
      <c r="F3871" s="4">
        <f>((-1.526122*(1.3/1.5))*0.6)-0.3</f>
        <v>-1.09358344</v>
      </c>
    </row>
    <row r="3872" spans="1:6" x14ac:dyDescent="0.4">
      <c r="A3872" s="4">
        <v>3386.2597500000002</v>
      </c>
      <c r="B3872" s="4">
        <v>1.4215062999999999</v>
      </c>
      <c r="C3872" s="4">
        <v>1.4374418</v>
      </c>
      <c r="D3872" s="4">
        <v>-30.259066999999998</v>
      </c>
      <c r="E3872" s="4">
        <f>(((((((((-30.0648456/(10/9))+-10.5)+-0.4)*0.98)*1.11)*0.85)-6.5)+3.2)+-0.3)+0.3</f>
        <v>-38.397439368415199</v>
      </c>
      <c r="F3872" s="4">
        <f>((-1.5218185*(1.3/1.5))*0.6)-0.3</f>
        <v>-1.09134562</v>
      </c>
    </row>
    <row r="3873" spans="1:6" x14ac:dyDescent="0.4">
      <c r="A3873" s="4">
        <v>3387.1346749999998</v>
      </c>
      <c r="B3873" s="4">
        <v>1.4217013000000001</v>
      </c>
      <c r="C3873" s="4">
        <v>1.4376897</v>
      </c>
      <c r="D3873" s="4">
        <v>-30.265294000000001</v>
      </c>
      <c r="E3873" s="4">
        <f>(((((((((-30.0921498/(10/9))+-10.5)+-0.4)*0.98)*1.11)*0.85)-6.5)+3.2)+-0.3)+0.3</f>
        <v>-38.420161022616597</v>
      </c>
      <c r="F3873" s="4">
        <f>((-1.5176666*(1.3/1.5))*0.6)-0.3</f>
        <v>-1.0891866320000001</v>
      </c>
    </row>
    <row r="3874" spans="1:6" x14ac:dyDescent="0.4">
      <c r="A3874" s="4">
        <v>3388.0096000000003</v>
      </c>
      <c r="B3874" s="4">
        <v>1.4215462999999999</v>
      </c>
      <c r="C3874" s="4">
        <v>1.4377685</v>
      </c>
      <c r="D3874" s="4">
        <v>-30.271902999999998</v>
      </c>
      <c r="E3874" s="4">
        <f>(((((((((-30.075822/(10/9))+-10.5)+-0.4)*0.98)*1.11)*0.85)-6.5)+3.2)+-0.3)+0.3</f>
        <v>-38.406573566273998</v>
      </c>
      <c r="F3874" s="4">
        <f>((-1.5135914*(1.3/1.5))*0.6)-0.3</f>
        <v>-1.0870675279999999</v>
      </c>
    </row>
    <row r="3875" spans="1:6" x14ac:dyDescent="0.4">
      <c r="A3875" s="4">
        <v>3388.8845249999999</v>
      </c>
      <c r="B3875" s="4">
        <v>1.4213545000000001</v>
      </c>
      <c r="C3875" s="4">
        <v>1.4375331</v>
      </c>
      <c r="D3875" s="4">
        <v>-30.278478</v>
      </c>
      <c r="E3875" s="4">
        <f>(((((((((-30.0463542/(10/9))+-10.5)+-0.4)*0.98)*1.11)*0.85)-6.5)+3.2)+-0.3)+0.3</f>
        <v>-38.382051435551389</v>
      </c>
      <c r="F3875" s="4">
        <f>((-1.5096283*(1.3/1.5))*0.6)-0.3</f>
        <v>-1.0850067159999999</v>
      </c>
    </row>
    <row r="3876" spans="1:6" x14ac:dyDescent="0.4">
      <c r="A3876" s="4">
        <v>3389.75945</v>
      </c>
      <c r="B3876" s="4">
        <v>1.4213929999999999</v>
      </c>
      <c r="C3876" s="4">
        <v>1.4373817</v>
      </c>
      <c r="D3876" s="4">
        <v>-30.285957</v>
      </c>
      <c r="E3876" s="4">
        <f>(((((((((-30.0844593/(10/9))+-10.5)+-0.4)*0.98)*1.11)*0.85)-6.5)+3.2)+-0.3)+0.3</f>
        <v>-38.413761242303096</v>
      </c>
      <c r="F3876" s="4">
        <f>((-1.5058317*(1.3/1.5))*0.6)-0.3</f>
        <v>-1.0830324840000001</v>
      </c>
    </row>
    <row r="3877" spans="1:6" x14ac:dyDescent="0.4">
      <c r="A3877" s="4">
        <v>3390.6343750000001</v>
      </c>
      <c r="B3877" s="4">
        <v>1.4214420000000001</v>
      </c>
      <c r="C3877" s="4">
        <v>1.4372488000000001</v>
      </c>
      <c r="D3877" s="4">
        <v>-30.293089999999999</v>
      </c>
      <c r="E3877" s="4">
        <f>(((((((((-30.0556071/(10/9))+-10.5)+-0.4)*0.98)*1.11)*0.85)-6.5)+3.2)+-0.3)+0.3</f>
        <v>-38.389751393585698</v>
      </c>
      <c r="F3877" s="4">
        <f>((-1.5021904*(1.3/1.5))*0.6)-0.3</f>
        <v>-1.0811390080000001</v>
      </c>
    </row>
    <row r="3878" spans="1:6" x14ac:dyDescent="0.4">
      <c r="A3878" s="4">
        <v>3391.5092999999997</v>
      </c>
      <c r="B3878" s="4">
        <v>1.4213057</v>
      </c>
      <c r="C3878" s="4">
        <v>1.4365368999999999</v>
      </c>
      <c r="D3878" s="4">
        <v>-30.300622000000001</v>
      </c>
      <c r="E3878" s="4">
        <f>(((((((((-30.0627477/(10/9))+-10.5)+-0.4)*0.98)*1.11)*0.85)-6.5)+3.2)+-0.3)+0.3</f>
        <v>-38.395693565265894</v>
      </c>
      <c r="F3878" s="4">
        <f>((-1.4988209*(1.3/1.5))*0.6)-0.3</f>
        <v>-1.0793868680000001</v>
      </c>
    </row>
    <row r="3879" spans="1:6" x14ac:dyDescent="0.4">
      <c r="A3879" s="4">
        <v>3392.3842250000002</v>
      </c>
      <c r="B3879" s="4">
        <v>1.4212054000000001</v>
      </c>
      <c r="C3879" s="4">
        <v>1.4365294</v>
      </c>
      <c r="D3879" s="4">
        <v>-30.308843</v>
      </c>
      <c r="E3879" s="4">
        <f>(((((((((-30.0492036/(10/9))+-10.5)+-0.4)*0.98)*1.11)*0.85)-6.5)+3.2)+-0.3)+0.3</f>
        <v>-38.384422612201199</v>
      </c>
      <c r="F3879" s="4">
        <f>((-1.4956433*(1.3/1.5))*0.6)-0.3</f>
        <v>-1.077734516</v>
      </c>
    </row>
    <row r="3880" spans="1:6" x14ac:dyDescent="0.4">
      <c r="A3880" s="4">
        <v>3393.2591499999999</v>
      </c>
      <c r="B3880" s="4">
        <v>1.4212041</v>
      </c>
      <c r="C3880" s="4">
        <v>1.4362201999999999</v>
      </c>
      <c r="D3880" s="4">
        <v>-30.316483999999999</v>
      </c>
      <c r="E3880" s="4">
        <f>(((((((((-30.0298059/(10/9))+-10.5)+-0.4)*0.98)*1.11)*0.85)-6.5)+3.2)+-0.3)+0.3</f>
        <v>-38.368280486385295</v>
      </c>
      <c r="F3880" s="4">
        <f>((-1.4925512*(1.3/1.5))*0.6)-0.3</f>
        <v>-1.076126624</v>
      </c>
    </row>
    <row r="3881" spans="1:6" x14ac:dyDescent="0.4">
      <c r="A3881" s="4">
        <v>3394.1340750000004</v>
      </c>
      <c r="B3881" s="4">
        <v>1.4212942</v>
      </c>
      <c r="C3881" s="4">
        <v>1.4361333999999999</v>
      </c>
      <c r="D3881" s="4">
        <v>-30.324466000000001</v>
      </c>
      <c r="E3881" s="4">
        <f>(((((((((-30.066552/(10/9))+-10.5)+-0.4)*0.98)*1.11)*0.85)-6.5)+3.2)+-0.3)+0.3</f>
        <v>-38.398859378184007</v>
      </c>
      <c r="F3881" s="4">
        <f>((-1.489594*(1.3/1.5))*0.6)-0.3</f>
        <v>-1.0745888800000001</v>
      </c>
    </row>
    <row r="3882" spans="1:6" x14ac:dyDescent="0.4">
      <c r="A3882" s="4">
        <v>3395.009</v>
      </c>
      <c r="B3882" s="4">
        <v>1.4212118</v>
      </c>
      <c r="C3882" s="4">
        <v>1.4362995999999999</v>
      </c>
      <c r="D3882" s="4">
        <v>-30.332459999999998</v>
      </c>
      <c r="E3882" s="4">
        <f>(((((((((-30.0175362/(10/9))+-10.5)+-0.4)*0.98)*1.11)*0.85)-6.5)+3.2)+-0.3)+0.3</f>
        <v>-38.358070046945393</v>
      </c>
      <c r="F3882" s="4">
        <f>((-1.4868664*(1.3/1.5))*0.6)-0.3</f>
        <v>-1.0731705279999999</v>
      </c>
    </row>
    <row r="3883" spans="1:6" x14ac:dyDescent="0.4">
      <c r="A3883" s="4">
        <v>3395.8839249999996</v>
      </c>
      <c r="B3883" s="4">
        <v>1.4209588</v>
      </c>
      <c r="C3883" s="4">
        <v>1.4362432999999999</v>
      </c>
      <c r="D3883" s="4">
        <v>-30.340425</v>
      </c>
      <c r="E3883" s="4">
        <f>(((((((((-30.0489777/(10/9))+-10.5)+-0.4)*0.98)*1.11)*0.85)-6.5)+3.2)+-0.3)+0.3</f>
        <v>-38.384234625675894</v>
      </c>
      <c r="F3883" s="4">
        <f>((-1.4844568*(1.3/1.5))*0.6)-0.3</f>
        <v>-1.0719175359999999</v>
      </c>
    </row>
    <row r="3884" spans="1:6" x14ac:dyDescent="0.4">
      <c r="A3884" s="4">
        <v>3396.7588500000002</v>
      </c>
      <c r="B3884" s="4">
        <v>1.4210943</v>
      </c>
      <c r="C3884" s="4">
        <v>1.4359390999999999</v>
      </c>
      <c r="D3884" s="4">
        <v>-30.348606999999998</v>
      </c>
      <c r="E3884" s="4">
        <f>(((((((((-30.0417534/(10/9))+-10.5)+-0.4)*0.98)*1.11)*0.85)-6.5)+3.2)+-0.3)+0.3</f>
        <v>-38.378222801617795</v>
      </c>
      <c r="F3884" s="4">
        <f>((-1.4823213*(1.3/1.5))*0.6)-0.3</f>
        <v>-1.0708070759999999</v>
      </c>
    </row>
    <row r="3885" spans="1:6" x14ac:dyDescent="0.4">
      <c r="A3885" s="4">
        <v>3397.6337749999998</v>
      </c>
      <c r="B3885" s="4">
        <v>1.4206531</v>
      </c>
      <c r="C3885" s="4">
        <v>1.4365258999999999</v>
      </c>
      <c r="D3885" s="4">
        <v>-30.356694000000001</v>
      </c>
      <c r="E3885" s="4">
        <f>(((((((((-30.0408201/(10/9))+-10.5)+-0.4)*0.98)*1.11)*0.85)-6.5)+3.2)+-0.3)+0.3</f>
        <v>-38.3774461401567</v>
      </c>
      <c r="F3885" s="4">
        <f>((-1.4804158*(1.3/1.5))*0.6)-0.3</f>
        <v>-1.069816216</v>
      </c>
    </row>
    <row r="3886" spans="1:6" x14ac:dyDescent="0.4">
      <c r="A3886" s="4">
        <v>3398.5087000000003</v>
      </c>
      <c r="B3886" s="4">
        <v>1.4207871000000001</v>
      </c>
      <c r="C3886" s="4">
        <v>1.4364958999999999</v>
      </c>
      <c r="D3886" s="4">
        <v>-30.364792999999999</v>
      </c>
      <c r="E3886" s="4">
        <f>(((((((((-30.0425706/(10/9))+-10.5)+-0.4)*0.98)*1.11)*0.85)-6.5)+3.2)+-0.3)+0.3</f>
        <v>-38.378902848490199</v>
      </c>
      <c r="F3886" s="4">
        <f>((-1.4787798*(1.3/1.5))*0.6)-0.3</f>
        <v>-1.0689654960000001</v>
      </c>
    </row>
    <row r="3887" spans="1:6" x14ac:dyDescent="0.4">
      <c r="A3887" s="4">
        <v>3399.3836249999999</v>
      </c>
      <c r="B3887" s="4">
        <v>1.420609</v>
      </c>
      <c r="C3887" s="4">
        <v>1.4366216999999999</v>
      </c>
      <c r="D3887" s="4">
        <v>-30.372996999999998</v>
      </c>
      <c r="E3887" s="4">
        <f>(((((((((-30.0212784/(10/9))+-10.5)+-0.4)*0.98)*1.11)*0.85)-6.5)+3.2)+-0.3)+0.3</f>
        <v>-38.361184182292796</v>
      </c>
      <c r="F3887" s="4">
        <f>((-1.4774176*(1.3/1.5))*0.6)-0.3</f>
        <v>-1.0682571519999999</v>
      </c>
    </row>
    <row r="3888" spans="1:6" x14ac:dyDescent="0.4">
      <c r="A3888" s="4">
        <v>3400.25855</v>
      </c>
      <c r="B3888" s="4">
        <v>1.4204011999999999</v>
      </c>
      <c r="C3888" s="4">
        <v>1.4360002000000001</v>
      </c>
      <c r="D3888" s="4">
        <v>-30.380680999999999</v>
      </c>
      <c r="E3888" s="4">
        <f>(((((((((-30.0054168/(10/9))+-10.5)+-0.4)*0.98)*1.11)*0.85)-6.5)+3.2)+-0.3)+0.3</f>
        <v>-38.347984682205599</v>
      </c>
      <c r="F3888" s="4">
        <f>((-1.4763442*(1.3/1.5))*0.6)-0.3</f>
        <v>-1.067698984</v>
      </c>
    </row>
    <row r="3889" spans="1:6" x14ac:dyDescent="0.4">
      <c r="A3889" s="4">
        <v>3401.1334750000001</v>
      </c>
      <c r="B3889" s="4">
        <v>1.4204965000000001</v>
      </c>
      <c r="C3889" s="4">
        <v>1.4361455000000001</v>
      </c>
      <c r="D3889" s="4">
        <v>-30.388455999999998</v>
      </c>
      <c r="E3889" s="4">
        <f>(((((((((-30.0444012/(10/9))+-10.5)+-0.4)*0.98)*1.11)*0.85)-6.5)+3.2)+-0.3)+0.3</f>
        <v>-38.380426213400391</v>
      </c>
      <c r="F3889" s="4">
        <f>((-1.4756225*(1.3/1.5))*0.6)-0.3</f>
        <v>-1.0673237</v>
      </c>
    </row>
    <row r="3890" spans="1:6" x14ac:dyDescent="0.4">
      <c r="A3890" s="4">
        <v>3402.0083999999997</v>
      </c>
      <c r="B3890" s="4">
        <v>1.4205322</v>
      </c>
      <c r="C3890" s="4">
        <v>1.4356852</v>
      </c>
      <c r="D3890" s="4">
        <v>-30.395620000000001</v>
      </c>
      <c r="E3890" s="4">
        <f>(((((((((-30.0203748/(10/9))+-10.5)+-0.4)*0.98)*1.11)*0.85)-6.5)+3.2)+-0.3)+0.3</f>
        <v>-38.360432236191599</v>
      </c>
      <c r="F3890" s="4">
        <f>((-1.4752123*(1.3/1.5))*0.6)-0.3</f>
        <v>-1.0671103959999999</v>
      </c>
    </row>
    <row r="3891" spans="1:6" x14ac:dyDescent="0.4">
      <c r="A3891" s="4">
        <v>3402.8833250000002</v>
      </c>
      <c r="B3891" s="4">
        <v>1.4206407999999999</v>
      </c>
      <c r="C3891" s="4">
        <v>1.4353426</v>
      </c>
      <c r="D3891" s="4">
        <v>-30.403044999999999</v>
      </c>
      <c r="E3891" s="4">
        <f>(((((((((-30.0229362/(10/9))+-10.5)+-0.4)*0.98)*1.11)*0.85)-6.5)+3.2)+-0.3)+0.3</f>
        <v>-38.362563748745401</v>
      </c>
      <c r="F3891" s="4">
        <f>((-1.475104*(1.3/1.5))*0.6)-0.3</f>
        <v>-1.0670540799999999</v>
      </c>
    </row>
    <row r="3892" spans="1:6" x14ac:dyDescent="0.4">
      <c r="A3892" s="4">
        <v>3403.7582499999999</v>
      </c>
      <c r="B3892" s="4">
        <v>1.42032</v>
      </c>
      <c r="C3892" s="4">
        <v>1.4351404000000001</v>
      </c>
      <c r="D3892" s="4">
        <v>-30.409942000000001</v>
      </c>
      <c r="E3892" s="4">
        <f>(((((((((-30.0167739/(10/9))+-10.5)+-0.4)*0.98)*1.11)*0.85)-6.5)+3.2)+-0.3)+0.3</f>
        <v>-38.357435686041299</v>
      </c>
      <c r="F3892" s="4">
        <f>((-1.4752924*(1.3/1.5))*0.6)-0.3</f>
        <v>-1.0671520480000001</v>
      </c>
    </row>
    <row r="3893" spans="1:6" x14ac:dyDescent="0.4">
      <c r="A3893" s="4">
        <v>3404.6331749999999</v>
      </c>
      <c r="B3893" s="4">
        <v>1.4203961000000001</v>
      </c>
      <c r="C3893" s="4">
        <v>1.4347114999999999</v>
      </c>
      <c r="D3893" s="4">
        <v>-30.417282999999998</v>
      </c>
      <c r="E3893" s="4">
        <f>(((((((((-30.0173778/(10/9))+-10.5)+-0.4)*0.98)*1.11)*0.85)-6.5)+3.2)+-0.3)+0.3</f>
        <v>-38.357938231692593</v>
      </c>
      <c r="F3893" s="4">
        <f>((-1.4757552*(1.3/1.5))*0.6)-0.3</f>
        <v>-1.067392704</v>
      </c>
    </row>
    <row r="3894" spans="1:6" x14ac:dyDescent="0.4">
      <c r="A3894" s="4">
        <v>3405.5081</v>
      </c>
      <c r="B3894" s="4">
        <v>1.4202583</v>
      </c>
      <c r="C3894" s="4">
        <v>1.4341484</v>
      </c>
      <c r="D3894" s="4">
        <v>-30.424205000000001</v>
      </c>
      <c r="E3894" s="4">
        <f>(((((((((-29.9930328/(10/9))+-10.5)+-0.4)*0.98)*1.11)*0.85)-6.5)+3.2)+-0.3)+0.3</f>
        <v>-38.337679126077603</v>
      </c>
      <c r="F3894" s="4">
        <f>((-1.4765913*(1.3/1.5))*0.6)-0.3</f>
        <v>-1.0678274759999999</v>
      </c>
    </row>
    <row r="3895" spans="1:6" x14ac:dyDescent="0.4">
      <c r="A3895" s="4">
        <v>3406.3830250000001</v>
      </c>
      <c r="B3895" s="4">
        <v>1.4202186000000001</v>
      </c>
      <c r="C3895" s="4">
        <v>1.4336603999999999</v>
      </c>
      <c r="D3895" s="4">
        <v>-30.430641999999999</v>
      </c>
      <c r="E3895" s="4">
        <f>(((((((((-30.0230973/(10/9))+-10.5)+-0.4)*0.98)*1.11)*0.85)-6.5)+3.2)+-0.3)+0.3</f>
        <v>-38.362697810849092</v>
      </c>
      <c r="F3895" s="4">
        <f>((-1.4777511*(1.3/1.5))*0.6)-0.3</f>
        <v>-1.068430572</v>
      </c>
    </row>
    <row r="3896" spans="1:6" x14ac:dyDescent="0.4">
      <c r="A3896" s="4">
        <v>3407.2579500000002</v>
      </c>
      <c r="B3896" s="4">
        <v>1.4199183</v>
      </c>
      <c r="C3896" s="4">
        <v>1.4336032999999999</v>
      </c>
      <c r="D3896" s="4">
        <v>-30.436567</v>
      </c>
      <c r="E3896" s="4">
        <f>(((((((((-30.0089151/(10/9))+-10.5)+-0.4)*0.98)*1.11)*0.85)-6.5)+3.2)+-0.3)+0.3</f>
        <v>-38.350895852021694</v>
      </c>
      <c r="F3896" s="4">
        <f>((-1.479254*(1.3/1.5))*0.6)-0.3</f>
        <v>-1.06921208</v>
      </c>
    </row>
    <row r="3897" spans="1:6" x14ac:dyDescent="0.4">
      <c r="A3897" s="4">
        <v>3408.1328749999998</v>
      </c>
      <c r="B3897" s="4">
        <v>1.4200554000000001</v>
      </c>
      <c r="C3897" s="4">
        <v>1.4336314999999999</v>
      </c>
      <c r="D3897" s="4">
        <v>-30.442059999999998</v>
      </c>
      <c r="E3897" s="4">
        <f>(((((((((-30.0106593/(10/9))+-10.5)+-0.4)*0.98)*1.11)*0.85)-6.5)+3.2)+-0.3)+0.3</f>
        <v>-38.352347317703099</v>
      </c>
      <c r="F3897" s="4">
        <f>((-1.4810908*(1.3/1.5))*0.6)-0.3</f>
        <v>-1.070167216</v>
      </c>
    </row>
    <row r="3898" spans="1:6" x14ac:dyDescent="0.4">
      <c r="A3898" s="4">
        <v>3409.0077999999999</v>
      </c>
      <c r="B3898" s="4">
        <v>1.419699</v>
      </c>
      <c r="C3898" s="4">
        <v>1.4341124999999999</v>
      </c>
      <c r="D3898" s="4">
        <v>-30.447505</v>
      </c>
      <c r="E3898" s="4">
        <f>(((((((((-30.0051072/(10/9))+-10.5)+-0.4)*0.98)*1.11)*0.85)-6.5)+3.2)+-0.3)+0.3</f>
        <v>-38.347727043302399</v>
      </c>
      <c r="F3898" s="4">
        <f>((-1.4832953*(1.3/1.5))*0.6)-0.3</f>
        <v>-1.071313556</v>
      </c>
    </row>
    <row r="3899" spans="1:6" x14ac:dyDescent="0.4">
      <c r="A3899" s="4">
        <v>3409.8827249999999</v>
      </c>
      <c r="B3899" s="4">
        <v>1.4198792</v>
      </c>
      <c r="C3899" s="4">
        <v>1.4344646000000001</v>
      </c>
      <c r="D3899" s="4">
        <v>-30.452624999999998</v>
      </c>
      <c r="E3899" s="4">
        <f>(((((((((-30.0046302/(10/9))+-10.5)+-0.4)*0.98)*1.11)*0.85)-6.5)+3.2)+-0.3)+0.3</f>
        <v>-38.347330099643401</v>
      </c>
      <c r="F3899" s="4">
        <f>((-1.4858011*(1.3/1.5))*0.6)-0.3</f>
        <v>-1.072616572</v>
      </c>
    </row>
    <row r="3900" spans="1:6" x14ac:dyDescent="0.4">
      <c r="A3900" s="4">
        <v>3410.75765</v>
      </c>
      <c r="B3900" s="4">
        <v>1.4195770999999999</v>
      </c>
      <c r="C3900" s="4">
        <v>1.4350978999999999</v>
      </c>
      <c r="D3900" s="4">
        <v>-30.457113</v>
      </c>
      <c r="E3900" s="4">
        <f>(((((((((-29.992662/(10/9))+-10.5)+-0.4)*0.98)*1.11)*0.85)-6.5)+3.2)+-0.3)+0.3</f>
        <v>-38.337370558553992</v>
      </c>
      <c r="F3900" s="4">
        <f>((-1.4885702*(1.3/1.5))*0.6)-0.3</f>
        <v>-1.0740565040000001</v>
      </c>
    </row>
    <row r="3901" spans="1:6" x14ac:dyDescent="0.4">
      <c r="A3901" s="4">
        <v>3411.6325750000001</v>
      </c>
      <c r="B3901" s="4">
        <v>1.4192518000000001</v>
      </c>
      <c r="C3901" s="4">
        <v>1.4350978000000001</v>
      </c>
      <c r="D3901" s="4">
        <v>-30.461185</v>
      </c>
      <c r="E3901" s="4">
        <f>(((((((((-29.9748303/(10/9))+-10.5)+-0.4)*0.98)*1.11)*0.85)-6.5)+3.2)+-0.3)+0.3</f>
        <v>-38.322531606260092</v>
      </c>
      <c r="F3901" s="4">
        <f>((-1.4915931*(1.3/1.5))*0.6)-0.3</f>
        <v>-1.0756284119999999</v>
      </c>
    </row>
    <row r="3902" spans="1:6" x14ac:dyDescent="0.4">
      <c r="A3902" s="4">
        <v>3412.5075000000002</v>
      </c>
      <c r="B3902" s="4">
        <v>1.4194</v>
      </c>
      <c r="C3902" s="4">
        <v>1.4352455</v>
      </c>
      <c r="D3902" s="4">
        <v>-30.464956000000001</v>
      </c>
      <c r="E3902" s="4">
        <f>(((((((((-30.018456/(10/9))+-10.5)+-0.4)*0.98)*1.11)*0.85)-6.5)+3.2)+-0.3)+0.3</f>
        <v>-38.358835474152002</v>
      </c>
      <c r="F3902" s="4">
        <f>((-1.4948766*(1.3/1.5))*0.6)-0.3</f>
        <v>-1.0773358319999999</v>
      </c>
    </row>
    <row r="3903" spans="1:6" x14ac:dyDescent="0.4">
      <c r="A3903" s="4">
        <v>3413.3824249999998</v>
      </c>
      <c r="B3903" s="4">
        <v>1.4197305</v>
      </c>
      <c r="C3903" s="4">
        <v>1.4353621999999999</v>
      </c>
      <c r="D3903" s="4">
        <v>-30.467693999999998</v>
      </c>
      <c r="E3903" s="4">
        <f>(((((((((-30.029391/(10/9))+-10.5)+-0.4)*0.98)*1.11)*0.85)-6.5)+3.2)+-0.3)+0.3</f>
        <v>-38.367935220296992</v>
      </c>
      <c r="F3903" s="4">
        <f>((-1.4984679*(1.3/1.5))*0.6)-0.3</f>
        <v>-1.0792033080000001</v>
      </c>
    </row>
    <row r="3904" spans="1:6" x14ac:dyDescent="0.4">
      <c r="A3904" s="4">
        <v>3414.2573500000003</v>
      </c>
      <c r="B3904" s="4">
        <v>1.4194633000000001</v>
      </c>
      <c r="C3904" s="4">
        <v>1.4354359999999999</v>
      </c>
      <c r="D3904" s="4">
        <v>-30.470486999999999</v>
      </c>
      <c r="E3904" s="4">
        <f>(((((((((-30.02823/(10/9))+-10.5)+-0.4)*0.98)*1.11)*0.85)-6.5)+3.2)+-0.3)+0.3</f>
        <v>-38.366969074409994</v>
      </c>
      <c r="F3904" s="4">
        <f>((-1.5023507*(1.3/1.5))*0.6)-0.3</f>
        <v>-1.081222364</v>
      </c>
    </row>
    <row r="3905" spans="1:6" x14ac:dyDescent="0.4">
      <c r="A3905" s="4">
        <v>3415.1322749999999</v>
      </c>
      <c r="B3905" s="4">
        <v>1.4195188000000001</v>
      </c>
      <c r="C3905" s="4">
        <v>1.4348282999999999</v>
      </c>
      <c r="D3905" s="4">
        <v>-30.472753000000001</v>
      </c>
      <c r="E3905" s="4">
        <f>(((((((((-30.0172644/(10/9))+-10.5)+-0.4)*0.98)*1.11)*0.85)-6.5)+3.2)+-0.3)+0.3</f>
        <v>-38.357843863954798</v>
      </c>
      <c r="F3905" s="4">
        <f>((-1.5064809*(1.3/1.5))*0.6)-0.3</f>
        <v>-1.083370068</v>
      </c>
    </row>
    <row r="3906" spans="1:6" x14ac:dyDescent="0.4">
      <c r="A3906" s="4">
        <v>3416.0072</v>
      </c>
      <c r="B3906" s="4">
        <v>1.4190107999999999</v>
      </c>
      <c r="C3906" s="4">
        <v>1.4344987</v>
      </c>
      <c r="D3906" s="4">
        <v>-30.474627999999999</v>
      </c>
      <c r="E3906" s="4">
        <f>(((((((((-30.0132747/(10/9))+-10.5)+-0.4)*0.98)*1.11)*0.85)-6.5)+3.2)+-0.3)+0.3</f>
        <v>-38.354523767274898</v>
      </c>
      <c r="F3906" s="4">
        <f>((-1.5109465*(1.3/1.5))*0.6)-0.3</f>
        <v>-1.0856921799999999</v>
      </c>
    </row>
    <row r="3907" spans="1:6" x14ac:dyDescent="0.4">
      <c r="A3907" s="4">
        <v>3416.8821250000001</v>
      </c>
      <c r="B3907" s="4">
        <v>1.4193268000000001</v>
      </c>
      <c r="C3907" s="4">
        <v>1.4344896</v>
      </c>
      <c r="D3907" s="4">
        <v>-30.475372</v>
      </c>
      <c r="E3907" s="4">
        <f>(((((((((-30.0597921/(10/9))+-10.5)+-0.4)*0.98)*1.11)*0.85)-6.5)+3.2)+-0.3)+0.3</f>
        <v>-38.393234012480697</v>
      </c>
      <c r="F3907" s="4">
        <f>((-1.5157026*(1.3/1.5))*0.6)-0.3</f>
        <v>-1.0881653520000001</v>
      </c>
    </row>
    <row r="3908" spans="1:6" x14ac:dyDescent="0.4">
      <c r="A3908" s="4">
        <v>3417.7570499999997</v>
      </c>
      <c r="B3908" s="4">
        <v>1.4192646</v>
      </c>
      <c r="C3908" s="4">
        <v>1.4346957</v>
      </c>
      <c r="D3908" s="4">
        <v>-30.476078999999999</v>
      </c>
      <c r="E3908" s="4">
        <f>(((((((((-30.0117816/(10/9))+-10.5)+-0.4)*0.98)*1.11)*0.85)-6.5)+3.2)+-0.3)+0.3</f>
        <v>-38.353281258727201</v>
      </c>
      <c r="F3908" s="4">
        <f>((-1.5206063*(1.3/1.5))*0.6)-0.3</f>
        <v>-1.0907152760000001</v>
      </c>
    </row>
    <row r="3909" spans="1:6" x14ac:dyDescent="0.4">
      <c r="A3909" s="4">
        <v>3418.6319750000002</v>
      </c>
      <c r="B3909" s="4">
        <v>1.4187118000000001</v>
      </c>
      <c r="C3909" s="4">
        <v>1.4351206999999999</v>
      </c>
      <c r="D3909" s="4">
        <v>-30.476275999999999</v>
      </c>
      <c r="E3909" s="4">
        <f>(((((((((-30.0302937/(10/9))+-10.5)+-0.4)*0.98)*1.11)*0.85)-6.5)+3.2)+-0.3)+0.3</f>
        <v>-38.368686417447897</v>
      </c>
      <c r="F3909" s="4">
        <f>((-1.525787*(1.3/1.5))*0.6)-0.3</f>
        <v>-1.0934092399999999</v>
      </c>
    </row>
    <row r="3910" spans="1:6" x14ac:dyDescent="0.4">
      <c r="A3910" s="4">
        <v>3419.5068999999999</v>
      </c>
      <c r="B3910" s="4">
        <v>1.4186095999999999</v>
      </c>
      <c r="C3910" s="4">
        <v>1.4347098</v>
      </c>
      <c r="D3910" s="4">
        <v>-30.475998999999998</v>
      </c>
      <c r="E3910" s="4">
        <f>(((((((((-30.0188745/(10/9))+-10.5)+-0.4)*0.98)*1.11)*0.85)-6.5)+3.2)+-0.3)+0.3</f>
        <v>-38.359183736041494</v>
      </c>
      <c r="F3910" s="4">
        <f>((-1.5312107*(1.3/1.5))*0.6)-0.3</f>
        <v>-1.0962295639999999</v>
      </c>
    </row>
    <row r="3911" spans="1:6" x14ac:dyDescent="0.4">
      <c r="A3911" s="4">
        <v>3420.3818250000004</v>
      </c>
      <c r="B3911" s="4">
        <v>1.4189242</v>
      </c>
      <c r="C3911" s="4">
        <v>1.4345235999999999</v>
      </c>
      <c r="D3911" s="4">
        <v>-30.475369999999998</v>
      </c>
      <c r="E3911" s="4">
        <f>(((((((((-30.0462408/(10/9))+-10.5)+-0.4)*0.98)*1.11)*0.85)-6.5)+3.2)+-0.3)+0.3</f>
        <v>-38.381957067813595</v>
      </c>
      <c r="F3911" s="4">
        <f>((-1.5368127*(1.3/1.5))*0.6)-0.3</f>
        <v>-1.0991426040000001</v>
      </c>
    </row>
    <row r="3912" spans="1:6" x14ac:dyDescent="0.4">
      <c r="A3912" s="4">
        <v>3421.25675</v>
      </c>
      <c r="B3912" s="4">
        <v>1.4189832</v>
      </c>
      <c r="C3912" s="4">
        <v>1.4342535999999999</v>
      </c>
      <c r="D3912" s="4">
        <v>-30.473942999999998</v>
      </c>
      <c r="E3912" s="4">
        <f>(((((((((-30.0290643/(10/9))+-10.5)+-0.4)*0.98)*1.11)*0.85)-6.5)+3.2)+-0.3)+0.3</f>
        <v>-38.367663351338095</v>
      </c>
      <c r="F3912" s="4">
        <f>((-1.5425882*(1.3/1.5))*0.6)-0.3</f>
        <v>-1.1021458639999999</v>
      </c>
    </row>
    <row r="3913" spans="1:6" x14ac:dyDescent="0.4">
      <c r="A3913" s="4">
        <v>3422.1316749999996</v>
      </c>
      <c r="B3913" s="4">
        <v>1.4186318</v>
      </c>
      <c r="C3913" s="4">
        <v>1.4338139999999999</v>
      </c>
      <c r="D3913" s="4">
        <v>-30.472345999999998</v>
      </c>
      <c r="E3913" s="4">
        <f>(((((((((-30.052359/(10/9))+-10.5)+-0.4)*0.98)*1.11)*0.85)-6.5)+3.2)+-0.3)+0.3</f>
        <v>-38.387048431952991</v>
      </c>
      <c r="F3913" s="4">
        <f>((-1.5485131*(1.3/1.5))*0.6)-0.3</f>
        <v>-1.1052268120000002</v>
      </c>
    </row>
    <row r="3914" spans="1:6" x14ac:dyDescent="0.4">
      <c r="A3914" s="4">
        <v>3423.0066000000002</v>
      </c>
      <c r="B3914" s="4">
        <v>1.4186453000000001</v>
      </c>
      <c r="C3914" s="4">
        <v>1.4329750999999999</v>
      </c>
      <c r="D3914" s="4">
        <v>-30.469981000000001</v>
      </c>
      <c r="E3914" s="4">
        <f>(((((((((-30.0357459/(10/9))+-10.5)+-0.4)*0.98)*1.11)*0.85)-6.5)+3.2)+-0.3)+0.3</f>
        <v>-38.373223558365289</v>
      </c>
      <c r="F3914" s="4">
        <f>((-1.5546489*(1.3/1.5))*0.6)-0.3</f>
        <v>-1.1084174279999999</v>
      </c>
    </row>
    <row r="3915" spans="1:6" x14ac:dyDescent="0.4">
      <c r="A3915" s="4">
        <v>3423.8815249999998</v>
      </c>
      <c r="B3915" s="4">
        <v>1.4187346999999999</v>
      </c>
      <c r="C3915" s="4">
        <v>1.4326303</v>
      </c>
      <c r="D3915" s="4">
        <v>-30.466864999999999</v>
      </c>
      <c r="E3915" s="4">
        <f>(((((((((-30.0691476/(10/9))+-10.5)+-0.4)*0.98)*1.11)*0.85)-6.5)+3.2)+-0.3)+0.3</f>
        <v>-38.401019350849197</v>
      </c>
      <c r="F3915" s="4">
        <f>((-1.5609679*(1.3/1.5))*0.6)-0.3</f>
        <v>-1.1117033080000001</v>
      </c>
    </row>
    <row r="3916" spans="1:6" x14ac:dyDescent="0.4">
      <c r="A3916" s="4">
        <v>3424.7564500000003</v>
      </c>
      <c r="B3916" s="4">
        <v>1.4183983</v>
      </c>
      <c r="C3916" s="4">
        <v>1.4318900000000001</v>
      </c>
      <c r="D3916" s="4">
        <v>-30.463386</v>
      </c>
      <c r="E3916" s="4">
        <f>(((((((((-30.0646467/(10/9))+-10.5)+-0.4)*0.98)*1.11)*0.85)-6.5)+3.2)+-0.3)+0.3</f>
        <v>-38.397273850398896</v>
      </c>
      <c r="F3916" s="4">
        <f>((-1.567348*(1.3/1.5))*0.6)-0.3</f>
        <v>-1.1150209600000001</v>
      </c>
    </row>
    <row r="3917" spans="1:6" x14ac:dyDescent="0.4">
      <c r="A3917" s="4">
        <v>3425.6313749999999</v>
      </c>
      <c r="B3917" s="4">
        <v>1.4182573999999999</v>
      </c>
      <c r="C3917" s="4">
        <v>1.4316933999999999</v>
      </c>
      <c r="D3917" s="4">
        <v>-30.459564999999998</v>
      </c>
      <c r="E3917" s="4">
        <f>(((((((((-30.0606678/(10/9))+-10.5)+-0.4)*0.98)*1.11)*0.85)-6.5)+3.2)+-0.3)+0.3</f>
        <v>-38.3939627411226</v>
      </c>
      <c r="F3917" s="4">
        <f>((-1.573807*(1.3/1.5))*0.6)-0.3</f>
        <v>-1.1183796399999999</v>
      </c>
    </row>
    <row r="3918" spans="1:6" x14ac:dyDescent="0.4">
      <c r="A3918" s="4">
        <v>3426.5063</v>
      </c>
      <c r="B3918" s="4">
        <v>1.4184469</v>
      </c>
      <c r="C3918" s="4">
        <v>1.4311601</v>
      </c>
      <c r="D3918" s="4">
        <v>-30.455226</v>
      </c>
      <c r="E3918" s="4">
        <f>(((((((((-30.0592152/(10/9))+-10.5)+-0.4)*0.98)*1.11)*0.85)-6.5)+3.2)+-0.3)+0.3</f>
        <v>-38.392753935338391</v>
      </c>
      <c r="F3918" s="4">
        <f>((-1.5802869*(1.3/1.5))*0.6)-0.3</f>
        <v>-1.1217491879999999</v>
      </c>
    </row>
    <row r="3919" spans="1:6" x14ac:dyDescent="0.4">
      <c r="A3919" s="4">
        <v>3427.3812250000001</v>
      </c>
      <c r="B3919" s="4">
        <v>1.4180773</v>
      </c>
      <c r="C3919" s="4">
        <v>1.4301192</v>
      </c>
      <c r="D3919" s="4">
        <v>-30.449812999999999</v>
      </c>
      <c r="E3919" s="4">
        <f>(((((((((-30.1042629/(10/9))+-10.5)+-0.4)*0.98)*1.11)*0.85)-6.5)+3.2)+-0.3)+0.3</f>
        <v>-38.43024114470429</v>
      </c>
      <c r="F3919" s="4">
        <f>((-1.5868248*(1.3/1.5))*0.6)-0.3</f>
        <v>-1.125148896</v>
      </c>
    </row>
    <row r="3920" spans="1:6" x14ac:dyDescent="0.4">
      <c r="A3920" s="4">
        <v>3428.2561499999997</v>
      </c>
      <c r="B3920" s="4">
        <v>1.4182044</v>
      </c>
      <c r="C3920" s="4">
        <v>1.4302665000000001</v>
      </c>
      <c r="D3920" s="4">
        <v>-30.444232</v>
      </c>
      <c r="E3920" s="4">
        <f>(((((((((-30.0728826/(10/9))+-10.5)+-0.4)*0.98)*1.11)*0.85)-6.5)+3.2)+-0.3)+0.3</f>
        <v>-38.404127494594192</v>
      </c>
      <c r="F3920" s="4">
        <f>((-1.5934864*(1.3/1.5))*0.6)-0.3</f>
        <v>-1.1286129279999999</v>
      </c>
    </row>
    <row r="3921" spans="1:6" x14ac:dyDescent="0.4">
      <c r="A3921" s="4">
        <v>3429.1310750000002</v>
      </c>
      <c r="B3921" s="4">
        <v>1.4182199</v>
      </c>
      <c r="C3921" s="4">
        <v>1.4301822</v>
      </c>
      <c r="D3921" s="4">
        <v>-30.438193999999999</v>
      </c>
      <c r="E3921" s="4">
        <f>(((((((((-30.083814/(10/9))+-10.5)+-0.4)*0.98)*1.11)*0.85)-6.5)+3.2)+-0.3)+0.3</f>
        <v>-38.413224244938</v>
      </c>
      <c r="F3921" s="4">
        <f>((-1.6001854*(1.3/1.5))*0.6)-0.3</f>
        <v>-1.132096408</v>
      </c>
    </row>
    <row r="3922" spans="1:6" x14ac:dyDescent="0.4">
      <c r="A3922" s="4">
        <v>3430.0059999999999</v>
      </c>
      <c r="B3922" s="4">
        <v>1.4182066</v>
      </c>
      <c r="C3922" s="4">
        <v>1.4306653</v>
      </c>
      <c r="D3922" s="4">
        <v>-30.431688999999999</v>
      </c>
      <c r="E3922" s="4">
        <f>(((((((((-30.0940731/(10/9))+-10.5)+-0.4)*0.98)*1.11)*0.85)-6.5)+3.2)+-0.3)+0.3</f>
        <v>-38.421761529407704</v>
      </c>
      <c r="F3922" s="4">
        <f>((-1.6068963*(1.3/1.5))*0.6)-0.3</f>
        <v>-1.1355860760000001</v>
      </c>
    </row>
    <row r="3923" spans="1:6" x14ac:dyDescent="0.4">
      <c r="A3923" s="4">
        <v>3430.8809249999999</v>
      </c>
      <c r="B3923" s="4">
        <v>1.4178412</v>
      </c>
      <c r="C3923" s="4">
        <v>1.4306688000000001</v>
      </c>
      <c r="D3923" s="4">
        <v>-30.424598</v>
      </c>
      <c r="E3923" s="4">
        <f>(((((((((-30.0997962/(10/9))+-10.5)+-0.4)*0.98)*1.11)*0.85)-6.5)+3.2)+-0.3)+0.3</f>
        <v>-38.426524104365399</v>
      </c>
      <c r="F3923" s="4">
        <f>((-1.6135302*(1.3/1.5))*0.6)-0.3</f>
        <v>-1.1390357040000001</v>
      </c>
    </row>
    <row r="3924" spans="1:6" x14ac:dyDescent="0.4">
      <c r="A3924" s="4">
        <v>3431.75585</v>
      </c>
      <c r="B3924" s="4">
        <v>1.417586</v>
      </c>
      <c r="C3924" s="4">
        <v>1.4305148000000001</v>
      </c>
      <c r="D3924" s="4">
        <v>-30.417693</v>
      </c>
      <c r="E3924" s="4">
        <f>(((((((((-30.0763638/(10/9))+-10.5)+-0.4)*0.98)*1.11)*0.85)-6.5)+3.2)+-0.3)+0.3</f>
        <v>-38.407024434354597</v>
      </c>
      <c r="F3924" s="4">
        <f>((-1.620206*(1.3/1.5))*0.6)-0.3</f>
        <v>-1.1425071200000001</v>
      </c>
    </row>
    <row r="3925" spans="1:6" x14ac:dyDescent="0.4">
      <c r="A3925" s="4">
        <v>3432.6307750000001</v>
      </c>
      <c r="B3925" s="4">
        <v>1.4177099</v>
      </c>
      <c r="C3925" s="4">
        <v>1.4305774</v>
      </c>
      <c r="D3925" s="4">
        <v>-30.410045</v>
      </c>
      <c r="E3925" s="4">
        <f>(((((((((-30.0994146/(10/9))+-10.5)+-0.4)*0.98)*1.11)*0.85)-6.5)+3.2)+-0.3)+0.3</f>
        <v>-38.426206549438191</v>
      </c>
      <c r="F3925" s="4">
        <f>((-1.6269221*(1.3/1.5))*0.6)-0.3</f>
        <v>-1.1459994920000001</v>
      </c>
    </row>
    <row r="3926" spans="1:6" x14ac:dyDescent="0.4">
      <c r="A3926" s="4">
        <v>3433.5057000000002</v>
      </c>
      <c r="B3926" s="4">
        <v>1.4172735000000001</v>
      </c>
      <c r="C3926" s="4">
        <v>1.4300805000000001</v>
      </c>
      <c r="D3926" s="4">
        <v>-30.402100999999998</v>
      </c>
      <c r="E3926" s="4">
        <f>(((((((((-30.1143456/(10/9))+-10.5)+-0.4)*0.98)*1.11)*0.85)-6.5)+3.2)+-0.3)+0.3</f>
        <v>-38.43863163491519</v>
      </c>
      <c r="F3926" s="4">
        <f>((-1.6336048*(1.3/1.5))*0.6)-0.3</f>
        <v>-1.1494744960000001</v>
      </c>
    </row>
    <row r="3927" spans="1:6" x14ac:dyDescent="0.4">
      <c r="A3927" s="4">
        <v>3434.3806249999998</v>
      </c>
      <c r="B3927" s="4">
        <v>1.4172841</v>
      </c>
      <c r="C3927" s="4">
        <v>1.4301598</v>
      </c>
      <c r="D3927" s="4">
        <v>-30.393459</v>
      </c>
      <c r="E3927" s="4">
        <f>(((((((((-30.1114719/(10/9))+-10.5)+-0.4)*0.98)*1.11)*0.85)-6.5)+3.2)+-0.3)+0.3</f>
        <v>-38.43624023660729</v>
      </c>
      <c r="F3927" s="4">
        <f>((-1.6401926*(1.3/1.5))*0.6)-0.3</f>
        <v>-1.152900152</v>
      </c>
    </row>
    <row r="3928" spans="1:6" x14ac:dyDescent="0.4">
      <c r="A3928" s="4">
        <v>3435.2555499999999</v>
      </c>
      <c r="B3928" s="4">
        <v>1.4172431999999999</v>
      </c>
      <c r="C3928" s="4">
        <v>1.4300143000000001</v>
      </c>
      <c r="D3928" s="4">
        <v>-30.384585999999999</v>
      </c>
      <c r="E3928" s="4">
        <f>(((((((((-30.1465872/(10/9))+-10.5)+-0.4)*0.98)*1.11)*0.85)-6.5)+3.2)+-0.3)+0.3</f>
        <v>-38.465462030462405</v>
      </c>
      <c r="F3928" s="4">
        <f>((-1.6467078*(1.3/1.5))*0.6)-0.3</f>
        <v>-1.156288056</v>
      </c>
    </row>
    <row r="3929" spans="1:6" x14ac:dyDescent="0.4">
      <c r="A3929" s="4">
        <v>3436.1304749999999</v>
      </c>
      <c r="B3929" s="4">
        <v>1.4174681</v>
      </c>
      <c r="C3929" s="4">
        <v>1.4298930000000001</v>
      </c>
      <c r="D3929" s="4">
        <v>-30.375505</v>
      </c>
      <c r="E3929" s="4">
        <f>(((((((((-30.1203234/(10/9))+-10.5)+-0.4)*0.98)*1.11)*0.85)-6.5)+3.2)+-0.3)+0.3</f>
        <v>-38.443606162807797</v>
      </c>
      <c r="F3929" s="4">
        <f>((-1.6531491*(1.3/1.5))*0.6)-0.3</f>
        <v>-1.1596375320000001</v>
      </c>
    </row>
    <row r="3930" spans="1:6" x14ac:dyDescent="0.4">
      <c r="A3930" s="4">
        <v>3437.0054</v>
      </c>
      <c r="B3930" s="4">
        <v>1.4169921999999999</v>
      </c>
      <c r="C3930" s="4">
        <v>1.4296719</v>
      </c>
      <c r="D3930" s="4">
        <v>-30.365936999999999</v>
      </c>
      <c r="E3930" s="4">
        <f>(((((((((-30.1359996/(10/9))+-10.5)+-0.4)*0.98)*1.11)*0.85)-6.5)+3.2)+-0.3)+0.3</f>
        <v>-38.456651379133191</v>
      </c>
      <c r="F3930" s="4">
        <f>((-1.6594028*(1.3/1.5))*0.6)-0.3</f>
        <v>-1.162889456</v>
      </c>
    </row>
    <row r="3931" spans="1:6" x14ac:dyDescent="0.4">
      <c r="A3931" s="4">
        <v>3437.8803250000001</v>
      </c>
      <c r="B3931" s="4">
        <v>1.416895</v>
      </c>
      <c r="C3931" s="4">
        <v>1.4299151999999999</v>
      </c>
      <c r="D3931" s="4">
        <v>-30.356009999999998</v>
      </c>
      <c r="E3931" s="4">
        <f>(((((((((-30.1632039/(10/9))+-10.5)+-0.4)*0.98)*1.11)*0.85)-6.5)+3.2)+-0.3)+0.3</f>
        <v>-38.479289899851295</v>
      </c>
      <c r="F3931" s="4">
        <f>((-1.6654688*(1.3/1.5))*0.6)-0.3</f>
        <v>-1.166043776</v>
      </c>
    </row>
    <row r="3932" spans="1:6" x14ac:dyDescent="0.4">
      <c r="A3932" s="4">
        <v>3438.7552500000002</v>
      </c>
      <c r="B3932" s="4">
        <v>1.4168631</v>
      </c>
      <c r="C3932" s="4">
        <v>1.4306867000000001</v>
      </c>
      <c r="D3932" s="4">
        <v>-30.346142999999998</v>
      </c>
      <c r="E3932" s="4">
        <f>(((((((((-30.1437999/(10/9))+-10.5)+-0.4)*0.98)*1.11)*0.85)-6.5)+3.2)+-0.3)+0.3</f>
        <v>-38.463142531383291</v>
      </c>
      <c r="F3932" s="4">
        <f>((-1.6714537*(1.3/1.5))*0.6)-0.3</f>
        <v>-1.169155924</v>
      </c>
    </row>
    <row r="3933" spans="1:6" x14ac:dyDescent="0.4">
      <c r="A3933" s="4">
        <v>3439.6301749999998</v>
      </c>
      <c r="B3933" s="4">
        <v>1.4169186</v>
      </c>
      <c r="C3933" s="4">
        <v>1.4311756</v>
      </c>
      <c r="D3933" s="4">
        <v>-30.335808999999998</v>
      </c>
      <c r="E3933" s="4">
        <f>(((((((((-30.1682988/(10/9))+-10.5)+-0.4)*0.98)*1.11)*0.85)-6.5)+3.2)+-0.3)+0.3</f>
        <v>-38.483529707499599</v>
      </c>
      <c r="F3933" s="4">
        <f>((-1.6772414*(1.3/1.5))*0.6)-0.3</f>
        <v>-1.1721655280000001</v>
      </c>
    </row>
    <row r="3934" spans="1:6" x14ac:dyDescent="0.4">
      <c r="A3934" s="4">
        <v>3440.5051000000003</v>
      </c>
      <c r="B3934" s="4">
        <v>1.4166867000000001</v>
      </c>
      <c r="C3934" s="4">
        <v>1.4310775</v>
      </c>
      <c r="D3934" s="4">
        <v>-30.324866</v>
      </c>
      <c r="E3934" s="4">
        <f>(((((((((-30.1420215/(10/9))+-10.5)+-0.4)*0.98)*1.11)*0.85)-6.5)+3.2)+-0.3)+0.3</f>
        <v>-38.46166260559049</v>
      </c>
      <c r="F3934" s="4">
        <f>((-1.6827765*(1.3/1.5))*0.6)-0.3</f>
        <v>-1.17504378</v>
      </c>
    </row>
    <row r="3935" spans="1:6" x14ac:dyDescent="0.4">
      <c r="A3935" s="4">
        <v>3441.3800249999999</v>
      </c>
      <c r="B3935" s="4">
        <v>1.4164648</v>
      </c>
      <c r="C3935" s="4">
        <v>1.4310020000000001</v>
      </c>
      <c r="D3935" s="4">
        <v>-30.313886</v>
      </c>
      <c r="E3935" s="4">
        <f>(((((((((-30.1451004/(10/9))+-10.5)+-0.4)*0.98)*1.11)*0.85)-6.5)+3.2)+-0.3)+0.3</f>
        <v>-38.464224764566794</v>
      </c>
      <c r="F3935" s="4">
        <f>((-1.6881375*(1.3/1.5))*0.6)-0.3</f>
        <v>-1.1778314999999999</v>
      </c>
    </row>
    <row r="3936" spans="1:6" x14ac:dyDescent="0.4">
      <c r="A3936" s="4">
        <v>3442.25495</v>
      </c>
      <c r="B3936" s="4">
        <v>1.4163176</v>
      </c>
      <c r="C3936" s="4">
        <v>1.4307524</v>
      </c>
      <c r="D3936" s="4">
        <v>-30.302909</v>
      </c>
      <c r="E3936" s="4">
        <f>(((((((((-30.1581747/(10/9))+-10.5)+-0.4)*0.98)*1.11)*0.85)-6.5)+3.2)+-0.3)+0.3</f>
        <v>-38.475104765574898</v>
      </c>
      <c r="F3936" s="4">
        <f>((-1.6932919*(1.3/1.5))*0.6)-0.3</f>
        <v>-1.180511788</v>
      </c>
    </row>
    <row r="3937" spans="1:6" x14ac:dyDescent="0.4">
      <c r="A3937" s="4">
        <v>3443.1298750000001</v>
      </c>
      <c r="B3937" s="4">
        <v>1.4162542</v>
      </c>
      <c r="C3937" s="4">
        <v>1.4307634</v>
      </c>
      <c r="D3937" s="4">
        <v>-30.291795</v>
      </c>
      <c r="E3937" s="4">
        <f>(((((((((-30.1569588/(10/9))+-10.5)+-0.4)*0.98)*1.11)*0.85)-6.5)+3.2)+-0.3)+0.3</f>
        <v>-38.474092933719596</v>
      </c>
      <c r="F3937" s="4">
        <f>((-1.6982576*(1.3/1.5))*0.6)-0.3</f>
        <v>-1.1830939519999999</v>
      </c>
    </row>
    <row r="3938" spans="1:6" x14ac:dyDescent="0.4">
      <c r="A3938" s="4">
        <v>3444.0047999999997</v>
      </c>
      <c r="B3938" s="4">
        <v>1.4162661999999999</v>
      </c>
      <c r="C3938" s="4">
        <v>1.4311457999999999</v>
      </c>
      <c r="D3938" s="4">
        <v>-30.280660000000001</v>
      </c>
      <c r="E3938" s="4">
        <f>(((((((((-30.1839372/(10/9))+-10.5)+-0.4)*0.98)*1.11)*0.85)-6.5)+3.2)+-0.3)+0.3</f>
        <v>-38.496543467912389</v>
      </c>
      <c r="F3938" s="4">
        <f>((-1.7030075*(1.3/1.5))*0.6)-0.3</f>
        <v>-1.1855639</v>
      </c>
    </row>
    <row r="3939" spans="1:6" x14ac:dyDescent="0.4">
      <c r="A3939" s="4">
        <v>3444.8797250000002</v>
      </c>
      <c r="B3939" s="4">
        <v>1.4162233</v>
      </c>
      <c r="C3939" s="4">
        <v>1.4314461999999999</v>
      </c>
      <c r="D3939" s="4">
        <v>-30.269438999999998</v>
      </c>
      <c r="E3939" s="4">
        <f>(((((((((-30.1785057/(10/9))+-10.5)+-0.4)*0.98)*1.11)*0.85)-6.5)+3.2)+-0.3)+0.3</f>
        <v>-38.49202355285189</v>
      </c>
      <c r="F3939" s="4">
        <f>((-1.707517*(1.3/1.5))*0.6)-0.3</f>
        <v>-1.18790884</v>
      </c>
    </row>
    <row r="3940" spans="1:6" x14ac:dyDescent="0.4">
      <c r="A3940" s="4">
        <v>3445.7546499999999</v>
      </c>
      <c r="B3940" s="4">
        <v>1.4159241</v>
      </c>
      <c r="C3940" s="4">
        <v>1.4313047000000001</v>
      </c>
      <c r="D3940" s="4">
        <v>-30.258282999999999</v>
      </c>
      <c r="E3940" s="4">
        <f>(((((((((-30.1837176/(10/9))+-10.5)+-0.4)*0.98)*1.11)*0.85)-6.5)+3.2)+-0.3)+0.3</f>
        <v>-38.496360724039192</v>
      </c>
      <c r="F3940" s="4">
        <f>((-1.7117234*(1.3/1.5))*0.6)-0.3</f>
        <v>-1.190096168</v>
      </c>
    </row>
    <row r="3941" spans="1:6" x14ac:dyDescent="0.4">
      <c r="A3941" s="4">
        <v>3446.6295750000004</v>
      </c>
      <c r="B3941" s="4">
        <v>1.4158766</v>
      </c>
      <c r="C3941" s="4">
        <v>1.4312400999999999</v>
      </c>
      <c r="D3941" s="4">
        <v>-30.246973999999998</v>
      </c>
      <c r="E3941" s="4">
        <f>(((((((((-30.191346/(10/9))+-10.5)+-0.4)*0.98)*1.11)*0.85)-6.5)+3.2)+-0.3)+0.3</f>
        <v>-38.502708826781991</v>
      </c>
      <c r="F3941" s="4">
        <f>((-1.7156496*(1.3/1.5))*0.6)-0.3</f>
        <v>-1.192137792</v>
      </c>
    </row>
    <row r="3942" spans="1:6" x14ac:dyDescent="0.4">
      <c r="A3942" s="4">
        <v>3447.5045</v>
      </c>
      <c r="B3942" s="4">
        <v>1.4155384</v>
      </c>
      <c r="C3942" s="4">
        <v>1.4311609999999999</v>
      </c>
      <c r="D3942" s="4">
        <v>-30.235493999999999</v>
      </c>
      <c r="E3942" s="4">
        <f>(((((((((-30.1808205/(10/9))+-10.5)+-0.4)*0.98)*1.11)*0.85)-6.5)+3.2)+-0.3)+0.3</f>
        <v>-38.493949853023501</v>
      </c>
      <c r="F3942" s="4">
        <f>((-1.7193118*(1.3/1.5))*0.6)-0.3</f>
        <v>-1.194042136</v>
      </c>
    </row>
    <row r="3943" spans="1:6" x14ac:dyDescent="0.4">
      <c r="A3943" s="4">
        <v>3448.3794249999996</v>
      </c>
      <c r="B3943" s="4">
        <v>1.4154954</v>
      </c>
      <c r="C3943" s="4">
        <v>1.4311788000000001</v>
      </c>
      <c r="D3943" s="4">
        <v>-30.224329999999998</v>
      </c>
      <c r="E3943" s="4">
        <f>(((((((((-30.1718664/(10/9))+-10.5)+-0.4)*0.98)*1.11)*0.85)-6.5)+3.2)+-0.3)+0.3</f>
        <v>-38.486498546488789</v>
      </c>
      <c r="F3943" s="4">
        <f>((-1.7226503*(1.3/1.5))*0.6)-0.3</f>
        <v>-1.195778156</v>
      </c>
    </row>
    <row r="3944" spans="1:6" x14ac:dyDescent="0.4">
      <c r="A3944" s="4">
        <v>3449.2543500000002</v>
      </c>
      <c r="B3944" s="4">
        <v>1.4155366</v>
      </c>
      <c r="C3944" s="4">
        <v>1.4309696999999999</v>
      </c>
      <c r="D3944" s="4">
        <v>-30.212816999999998</v>
      </c>
      <c r="E3944" s="4">
        <f>(((((((((-30.192768/(10/9))+-10.5)+-0.4)*0.98)*1.11)*0.85)-6.5)+3.2)+-0.3)+0.3</f>
        <v>-38.503892168255994</v>
      </c>
      <c r="F3944" s="4">
        <f>((-1.7257332*(1.3/1.5))*0.6)-0.3</f>
        <v>-1.1973812639999999</v>
      </c>
    </row>
    <row r="3945" spans="1:6" x14ac:dyDescent="0.4">
      <c r="A3945" s="4">
        <v>3450.1292749999998</v>
      </c>
      <c r="B3945" s="4">
        <v>1.4157462999999999</v>
      </c>
      <c r="C3945" s="4">
        <v>1.4311872999999999</v>
      </c>
      <c r="D3945" s="4">
        <v>-30.201642</v>
      </c>
      <c r="E3945" s="4">
        <f>(((((((((-30.2102667/(10/9))+-10.5)+-0.4)*0.98)*1.11)*0.85)-6.5)+3.2)+-0.3)+0.3</f>
        <v>-38.518454008938896</v>
      </c>
      <c r="F3945" s="4">
        <f>((-1.7285657*(1.3/1.5))*0.6)-0.3</f>
        <v>-1.1988541640000001</v>
      </c>
    </row>
    <row r="3946" spans="1:6" x14ac:dyDescent="0.4">
      <c r="A3946" s="4">
        <v>3451.0042000000003</v>
      </c>
      <c r="B3946" s="4">
        <v>1.4152830000000001</v>
      </c>
      <c r="C3946" s="4">
        <v>1.4305918</v>
      </c>
      <c r="D3946" s="4">
        <v>-30.190573999999998</v>
      </c>
      <c r="E3946" s="4">
        <f>(((((((((-30.1690197/(10/9))+-10.5)+-0.4)*0.98)*1.11)*0.85)-6.5)+3.2)+-0.3)+0.3</f>
        <v>-38.484129616689899</v>
      </c>
      <c r="F3946" s="4">
        <f>((-1.7310833*(1.3/1.5))*0.6)-0.3</f>
        <v>-1.200163316</v>
      </c>
    </row>
    <row r="3947" spans="1:6" x14ac:dyDescent="0.4">
      <c r="A3947" s="4">
        <v>3451.8791249999999</v>
      </c>
      <c r="B3947" s="4">
        <v>1.4154926999999999</v>
      </c>
      <c r="C3947" s="4">
        <v>1.430485</v>
      </c>
      <c r="D3947" s="4">
        <v>-30.179604999999999</v>
      </c>
      <c r="E3947" s="4">
        <f>(((((((((-30.1986351/(10/9))+-10.5)+-0.4)*0.98)*1.11)*0.85)-6.5)+3.2)+-0.3)+0.3</f>
        <v>-38.508774575261697</v>
      </c>
      <c r="F3947" s="4">
        <f>((-1.7331676*(1.3/1.5))*0.6)-0.3</f>
        <v>-1.2012471520000001</v>
      </c>
    </row>
    <row r="3948" spans="1:6" x14ac:dyDescent="0.4">
      <c r="A3948" s="4">
        <v>3452.75405</v>
      </c>
      <c r="B3948" s="4">
        <v>1.4153084</v>
      </c>
      <c r="C3948" s="4">
        <v>1.4301052000000001</v>
      </c>
      <c r="D3948" s="4">
        <v>-30.168748000000001</v>
      </c>
      <c r="E3948" s="4">
        <f>(((((((((-30.1875012/(10/9))+-10.5)+-0.4)*0.98)*1.11)*0.85)-6.5)+3.2)+-0.3)+0.3</f>
        <v>-38.499509311100397</v>
      </c>
      <c r="F3948" s="4">
        <f>((-1.735038*(1.3/1.5))*0.6)-0.3</f>
        <v>-1.20221976</v>
      </c>
    </row>
    <row r="3949" spans="1:6" x14ac:dyDescent="0.4">
      <c r="A3949" s="4">
        <v>3453.6289750000001</v>
      </c>
      <c r="B3949" s="4">
        <v>1.4153975999999999</v>
      </c>
      <c r="C3949" s="4">
        <v>1.4299382</v>
      </c>
      <c r="D3949" s="4">
        <v>-30.157993999999999</v>
      </c>
      <c r="E3949" s="4">
        <f>(((((((((-30.1971447/(10/9))+-10.5)+-0.4)*0.98)*1.11)*0.85)-6.5)+3.2)+-0.3)+0.3</f>
        <v>-38.507534313564896</v>
      </c>
      <c r="F3949" s="4">
        <f>((-1.7366681*(1.3/1.5))*0.6)-0.3</f>
        <v>-1.203067412</v>
      </c>
    </row>
    <row r="3950" spans="1:6" x14ac:dyDescent="0.4">
      <c r="A3950" s="4">
        <v>3454.5038999999997</v>
      </c>
      <c r="B3950" s="4">
        <v>1.4152739999999999</v>
      </c>
      <c r="C3950" s="4">
        <v>1.4300193000000001</v>
      </c>
      <c r="D3950" s="4">
        <v>-30.147511999999999</v>
      </c>
      <c r="E3950" s="4">
        <f>(((((((((-30.1936194/(10/9))+-10.5)+-0.4)*0.98)*1.11)*0.85)-6.5)+3.2)+-0.3)+0.3</f>
        <v>-38.5046006752398</v>
      </c>
      <c r="F3950" s="4">
        <f>((-1.7379397*(1.3/1.5))*0.6)-0.3</f>
        <v>-1.2037286439999999</v>
      </c>
    </row>
    <row r="3951" spans="1:6" x14ac:dyDescent="0.4">
      <c r="A3951" s="4">
        <v>3455.3788250000002</v>
      </c>
      <c r="B3951" s="4">
        <v>1.4151613000000001</v>
      </c>
      <c r="C3951" s="4">
        <v>1.4307311</v>
      </c>
      <c r="D3951" s="4">
        <v>-30.137343999999999</v>
      </c>
      <c r="E3951" s="4">
        <f>(((((((((-30.1849569/(10/9))+-10.5)+-0.4)*0.98)*1.11)*0.85)-6.5)+3.2)+-0.3)+0.3</f>
        <v>-38.497392028602299</v>
      </c>
      <c r="F3951" s="4">
        <f>((-1.7388772*(1.3/1.5))*0.6)-0.3</f>
        <v>-1.2042161439999999</v>
      </c>
    </row>
    <row r="3952" spans="1:6" x14ac:dyDescent="0.4">
      <c r="A3952" s="4">
        <v>3456.2537499999999</v>
      </c>
      <c r="B3952" s="4">
        <v>1.4149947</v>
      </c>
      <c r="C3952" s="4">
        <v>1.4299478999999999</v>
      </c>
      <c r="D3952" s="4">
        <v>-30.127091999999998</v>
      </c>
      <c r="E3952" s="4">
        <f>(((((((((-30.2130135/(10/9))+-10.5)+-0.4)*0.98)*1.11)*0.85)-6.5)+3.2)+-0.3)+0.3</f>
        <v>-38.5207398052545</v>
      </c>
      <c r="F3952" s="4">
        <f>((-1.7395421*(1.3/1.5))*0.6)-0.3</f>
        <v>-1.2045618920000001</v>
      </c>
    </row>
    <row r="3953" spans="1:6" x14ac:dyDescent="0.4">
      <c r="A3953" s="4">
        <v>3457.1286749999999</v>
      </c>
      <c r="B3953" s="4">
        <v>1.4150031000000001</v>
      </c>
      <c r="C3953" s="4">
        <v>1.4295279999999999</v>
      </c>
      <c r="D3953" s="4">
        <v>-30.117474999999999</v>
      </c>
      <c r="E3953" s="4">
        <f>(((((((((-30.2003307/(10/9))+-10.5)+-0.4)*0.98)*1.11)*0.85)-6.5)+3.2)+-0.3)+0.3</f>
        <v>-38.510185597626894</v>
      </c>
      <c r="F3953" s="4">
        <f>((-1.7398795*(1.3/1.5))*0.6)-0.3</f>
        <v>-1.2047373399999999</v>
      </c>
    </row>
    <row r="3954" spans="1:6" x14ac:dyDescent="0.4">
      <c r="A3954" s="4">
        <v>3458.0036</v>
      </c>
      <c r="B3954" s="4">
        <v>1.4147209999999999</v>
      </c>
      <c r="C3954" s="4">
        <v>1.4295827000000001</v>
      </c>
      <c r="D3954" s="4">
        <v>-30.107944</v>
      </c>
      <c r="E3954" s="4">
        <f>(((((((((-30.2192514/(10/9))+-10.5)+-0.4)*0.98)*1.11)*0.85)-6.5)+3.2)+-0.3)+0.3</f>
        <v>-38.525930779783792</v>
      </c>
      <c r="F3954" s="4">
        <f>((-1.7399073*(1.3/1.5))*0.6)-0.3</f>
        <v>-1.204751796</v>
      </c>
    </row>
    <row r="3955" spans="1:6" x14ac:dyDescent="0.4">
      <c r="A3955" s="4">
        <v>3458.8785250000001</v>
      </c>
      <c r="B3955" s="4">
        <v>1.4148953</v>
      </c>
      <c r="C3955" s="4">
        <v>1.4299710000000001</v>
      </c>
      <c r="D3955" s="4">
        <v>-30.098647</v>
      </c>
      <c r="E3955" s="4">
        <f>(((((((((-30.1867254/(10/9))+-10.5)+-0.4)*0.98)*1.11)*0.85)-6.5)+3.2)+-0.3)+0.3</f>
        <v>-38.498863715941802</v>
      </c>
      <c r="F3955" s="4">
        <f>((-1.7396065*(1.3/1.5))*0.6)-0.3</f>
        <v>-1.20459538</v>
      </c>
    </row>
    <row r="3956" spans="1:6" x14ac:dyDescent="0.4">
      <c r="A3956" s="4">
        <v>3459.7534500000002</v>
      </c>
      <c r="B3956" s="4">
        <v>1.4147080999999999</v>
      </c>
      <c r="C3956" s="4">
        <v>1.4295945999999999</v>
      </c>
      <c r="D3956" s="4">
        <v>-30.089897999999998</v>
      </c>
      <c r="E3956" s="4">
        <f>(((((((((-30.1905603/(10/9))+-10.5)+-0.4)*0.98)*1.11)*0.85)-6.5)+3.2)+-0.3)+0.3</f>
        <v>-38.502054993170098</v>
      </c>
      <c r="F3956" s="4">
        <f>((-1.7389752*(1.3/1.5))*0.6)-0.3</f>
        <v>-1.2042671039999999</v>
      </c>
    </row>
    <row r="3957" spans="1:6" x14ac:dyDescent="0.4">
      <c r="A3957" s="4">
        <v>3460.6283749999998</v>
      </c>
      <c r="B3957" s="4">
        <v>1.4146898999999999</v>
      </c>
      <c r="C3957" s="4">
        <v>1.4290518000000001</v>
      </c>
      <c r="D3957" s="4">
        <v>-30.081240999999999</v>
      </c>
      <c r="E3957" s="4">
        <f>(((((((((-30.2048181/(10/9))+-10.5)+-0.4)*0.98)*1.11)*0.85)-6.5)+3.2)+-0.3)+0.3</f>
        <v>-38.5139198638227</v>
      </c>
      <c r="F3957" s="4">
        <f>((-1.7381195*(1.3/1.5))*0.6)-0.3</f>
        <v>-1.20382214</v>
      </c>
    </row>
    <row r="3958" spans="1:6" x14ac:dyDescent="0.4">
      <c r="A3958" s="4">
        <v>3461.5032999999999</v>
      </c>
      <c r="B3958" s="4">
        <v>1.4145802000000001</v>
      </c>
      <c r="C3958" s="4">
        <v>1.4274837</v>
      </c>
      <c r="D3958" s="4">
        <v>-30.073387999999998</v>
      </c>
      <c r="E3958" s="4">
        <f>(((((((((-30.1819428/(10/9))+-10.5)+-0.4)*0.98)*1.11)*0.85)-6.5)+3.2)+-0.3)+0.3</f>
        <v>-38.494883794047595</v>
      </c>
      <c r="F3958" s="4">
        <f>((-1.7370541*(1.3/1.5))*0.6)-0.3</f>
        <v>-1.2032681319999998</v>
      </c>
    </row>
    <row r="3959" spans="1:6" x14ac:dyDescent="0.4">
      <c r="A3959" s="4">
        <v>3462.3782249999999</v>
      </c>
      <c r="B3959" s="4">
        <v>1.4144839</v>
      </c>
      <c r="C3959" s="4">
        <v>1.4266179999999999</v>
      </c>
      <c r="D3959" s="4">
        <v>-30.066088999999998</v>
      </c>
      <c r="E3959" s="4">
        <f>(((((((((-30.2125221/(10/9))+-10.5)+-0.4)*0.98)*1.11)*0.85)-6.5)+3.2)+-0.3)+0.3</f>
        <v>-38.520330878390695</v>
      </c>
      <c r="F3959" s="4">
        <f>((-1.7356861*(1.3/1.5))*0.6)-0.3</f>
        <v>-1.2025567719999999</v>
      </c>
    </row>
    <row r="3960" spans="1:6" x14ac:dyDescent="0.4">
      <c r="A3960" s="4">
        <v>3463.25315</v>
      </c>
      <c r="B3960" s="4">
        <v>1.4145882000000001</v>
      </c>
      <c r="C3960" s="4">
        <v>1.4261143999999999</v>
      </c>
      <c r="D3960" s="4">
        <v>-30.058713000000001</v>
      </c>
      <c r="E3960" s="4">
        <f>(((((((((-30.1794471/(10/9))+-10.5)+-0.4)*0.98)*1.11)*0.85)-6.5)+3.2)+-0.3)+0.3</f>
        <v>-38.492806954865692</v>
      </c>
      <c r="F3960" s="4">
        <f>((-1.7340167*(1.3/1.5))*0.6)-0.3</f>
        <v>-1.2016886839999998</v>
      </c>
    </row>
    <row r="3961" spans="1:6" x14ac:dyDescent="0.4">
      <c r="A3961" s="4">
        <v>3464.1280750000001</v>
      </c>
      <c r="B3961" s="4">
        <v>1.4143167999999999</v>
      </c>
      <c r="C3961" s="4">
        <v>1.4256568000000001</v>
      </c>
      <c r="D3961" s="4">
        <v>-30.052080999999998</v>
      </c>
      <c r="E3961" s="4">
        <f>(((((((((-30.1821588/(10/9))+-10.5)+-0.4)*0.98)*1.11)*0.85)-6.5)+3.2)+-0.3)+0.3</f>
        <v>-38.495063542119595</v>
      </c>
      <c r="F3961" s="4">
        <f>((-1.7321004*(1.3/1.5))*0.6)-0.3</f>
        <v>-1.200692208</v>
      </c>
    </row>
    <row r="3962" spans="1:6" x14ac:dyDescent="0.4">
      <c r="A3962" s="4">
        <v>3465.0030000000002</v>
      </c>
      <c r="B3962" s="4">
        <v>1.4141352</v>
      </c>
      <c r="C3962" s="4">
        <v>1.4249221000000001</v>
      </c>
      <c r="D3962" s="4">
        <v>-30.045444</v>
      </c>
      <c r="E3962" s="4">
        <f>(((((((((-30.191346/(10/9))+-10.5)+-0.4)*0.98)*1.11)*0.85)-6.5)+3.2)+-0.3)+0.3</f>
        <v>-38.502708826781991</v>
      </c>
      <c r="F3962" s="4">
        <f>((-1.7299538*(1.3/1.5))*0.6)-0.3</f>
        <v>-1.199575976</v>
      </c>
    </row>
    <row r="3963" spans="1:6" x14ac:dyDescent="0.4">
      <c r="A3963" s="4">
        <v>3465.8779249999998</v>
      </c>
      <c r="B3963" s="4">
        <v>1.414423</v>
      </c>
      <c r="C3963" s="4">
        <v>1.4246135</v>
      </c>
      <c r="D3963" s="4">
        <v>-30.039680000000001</v>
      </c>
      <c r="E3963" s="4">
        <f>(((((((((-30.2063526/(10/9))+-10.5)+-0.4)*0.98)*1.11)*0.85)-6.5)+3.2)+-0.3)+0.3</f>
        <v>-38.5151968240842</v>
      </c>
      <c r="F3963" s="4">
        <f>((-1.7276611*(1.3/1.5))*0.6)-0.3</f>
        <v>-1.1983837719999999</v>
      </c>
    </row>
    <row r="3964" spans="1:6" x14ac:dyDescent="0.4">
      <c r="A3964" s="4">
        <v>3466.7528500000003</v>
      </c>
      <c r="B3964" s="4">
        <v>1.4142714999999999</v>
      </c>
      <c r="C3964" s="4">
        <v>1.4249307</v>
      </c>
      <c r="D3964" s="4">
        <v>-30.033759</v>
      </c>
      <c r="E3964" s="4">
        <f>(((((((((-30.1809501/(10/9))+-10.5)+-0.4)*0.98)*1.11)*0.85)-6.5)+3.2)+-0.3)+0.3</f>
        <v>-38.494057701866701</v>
      </c>
      <c r="F3964" s="4">
        <f>((-1.7250586*(1.3/1.5))*0.6)-0.3</f>
        <v>-1.197030472</v>
      </c>
    </row>
    <row r="3965" spans="1:6" x14ac:dyDescent="0.4">
      <c r="A3965" s="4">
        <v>3467.6277749999999</v>
      </c>
      <c r="B3965" s="4">
        <v>1.4143053000000001</v>
      </c>
      <c r="C3965" s="4">
        <v>1.4256907999999999</v>
      </c>
      <c r="D3965" s="4">
        <v>-30.028759999999998</v>
      </c>
      <c r="E3965" s="4">
        <f>(((((((((-30.1790178/(10/9))+-10.5)+-0.4)*0.98)*1.11)*0.85)-6.5)+3.2)+-0.3)+0.3</f>
        <v>-38.492449705572589</v>
      </c>
      <c r="F3965" s="4">
        <f>((-1.7222209*(1.3/1.5))*0.6)-0.3</f>
        <v>-1.1955548680000001</v>
      </c>
    </row>
    <row r="3966" spans="1:6" x14ac:dyDescent="0.4">
      <c r="A3966" s="4">
        <v>3468.5027</v>
      </c>
      <c r="B3966" s="4">
        <v>1.4139683999999999</v>
      </c>
      <c r="C3966" s="4">
        <v>1.4260858000000001</v>
      </c>
      <c r="D3966" s="4">
        <v>-30.023889</v>
      </c>
      <c r="E3966" s="4">
        <f>(((((((((-30.1801572/(10/9))+-10.5)+-0.4)*0.98)*1.11)*0.85)-6.5)+3.2)+-0.3)+0.3</f>
        <v>-38.493397876652402</v>
      </c>
      <c r="F3966" s="4">
        <f>((-1.7191564*(1.3/1.5))*0.6)-0.3</f>
        <v>-1.1939613279999999</v>
      </c>
    </row>
    <row r="3967" spans="1:6" x14ac:dyDescent="0.4">
      <c r="A3967" s="4">
        <v>3469.3776250000001</v>
      </c>
      <c r="B3967" s="4">
        <v>1.414202</v>
      </c>
      <c r="C3967" s="4">
        <v>1.4266049000000001</v>
      </c>
      <c r="D3967" s="4">
        <v>-30.019683000000001</v>
      </c>
      <c r="E3967" s="4">
        <f>(((((((((-30.1617999/(10/9))+-10.5)+-0.4)*0.98)*1.11)*0.85)-6.5)+3.2)+-0.3)+0.3</f>
        <v>-38.478121537383288</v>
      </c>
      <c r="F3967" s="4">
        <f>((-1.7159437*(1.3/1.5))*0.6)-0.3</f>
        <v>-1.192290724</v>
      </c>
    </row>
    <row r="3968" spans="1:6" x14ac:dyDescent="0.4">
      <c r="A3968" s="4">
        <v>3470.2525499999997</v>
      </c>
      <c r="B3968" s="4">
        <v>1.4142355</v>
      </c>
      <c r="C3968" s="4">
        <v>1.4262722000000001</v>
      </c>
      <c r="D3968" s="4">
        <v>-30.016287999999999</v>
      </c>
      <c r="E3968" s="4">
        <f>(((((((((-30.1826844/(10/9))+-10.5)+-0.4)*0.98)*1.11)*0.85)-6.5)+3.2)+-0.3)+0.3</f>
        <v>-38.495500929094803</v>
      </c>
      <c r="F3968" s="4">
        <f>((-1.7124732*(1.3/1.5))*0.6)-0.3</f>
        <v>-1.1904860639999999</v>
      </c>
    </row>
    <row r="3969" spans="1:6" x14ac:dyDescent="0.4">
      <c r="A3969" s="4">
        <v>3471.1274750000002</v>
      </c>
      <c r="B3969" s="4">
        <v>1.4142497000000001</v>
      </c>
      <c r="C3969" s="4">
        <v>1.4258389</v>
      </c>
      <c r="D3969" s="4">
        <v>-30.013165999999998</v>
      </c>
      <c r="E3969" s="4">
        <f>(((((((((-30.1513455/(10/9))+-10.5)+-0.4)*0.98)*1.11)*0.85)-6.5)+3.2)+-0.3)+0.3</f>
        <v>-38.469421730698492</v>
      </c>
      <c r="F3969" s="4">
        <f>((-1.7088474*(1.3/1.5))*0.6)-0.3</f>
        <v>-1.188600648</v>
      </c>
    </row>
    <row r="3970" spans="1:6" x14ac:dyDescent="0.4">
      <c r="A3970" s="4">
        <v>3472.0023999999999</v>
      </c>
      <c r="B3970" s="4">
        <v>1.4137123</v>
      </c>
      <c r="C3970" s="4">
        <v>1.4249746999999999</v>
      </c>
      <c r="D3970" s="4">
        <v>-30.010717</v>
      </c>
      <c r="E3970" s="4">
        <f>(((((((((-30.1592592/(10/9))+-10.5)+-0.4)*0.98)*1.11)*0.85)-6.5)+3.2)+-0.3)+0.3</f>
        <v>-38.476007250686401</v>
      </c>
      <c r="F3970" s="4">
        <f>((-1.7051257*(1.3/1.5))*0.6)-0.3</f>
        <v>-1.186665364</v>
      </c>
    </row>
    <row r="3971" spans="1:6" x14ac:dyDescent="0.4">
      <c r="A3971" s="4">
        <v>3472.8773250000004</v>
      </c>
      <c r="B3971" s="4">
        <v>1.4137472</v>
      </c>
      <c r="C3971" s="4">
        <v>1.4243954000000001</v>
      </c>
      <c r="D3971" s="4">
        <v>-30.008596000000001</v>
      </c>
      <c r="E3971" s="4">
        <f>(((((((((-30.1661838/(10/9))+-10.5)+-0.4)*0.98)*1.11)*0.85)-6.5)+3.2)+-0.3)+0.3</f>
        <v>-38.481769674294597</v>
      </c>
      <c r="F3971" s="4">
        <f>((-1.7013142*(1.3/1.5))*0.6)-0.3</f>
        <v>-1.184683384</v>
      </c>
    </row>
    <row r="3972" spans="1:6" x14ac:dyDescent="0.4">
      <c r="A3972" s="4">
        <v>3473.75225</v>
      </c>
      <c r="B3972" s="4">
        <v>1.4136053</v>
      </c>
      <c r="C3972" s="4">
        <v>1.4245175000000001</v>
      </c>
      <c r="D3972" s="4">
        <v>-30.006463</v>
      </c>
      <c r="E3972" s="4">
        <f>(((((((((-30.1777821/(10/9))+-10.5)+-0.4)*0.98)*1.11)*0.85)-6.5)+3.2)+-0.3)+0.3</f>
        <v>-38.491421396810701</v>
      </c>
      <c r="F3972" s="4">
        <f>((-1.6973383*(1.3/1.5))*0.6)-0.3</f>
        <v>-1.182615916</v>
      </c>
    </row>
    <row r="3973" spans="1:6" x14ac:dyDescent="0.4">
      <c r="A3973" s="4">
        <v>3474.6271749999996</v>
      </c>
      <c r="B3973" s="4">
        <v>1.4134245999999999</v>
      </c>
      <c r="C3973" s="4">
        <v>1.4241941</v>
      </c>
      <c r="D3973" s="4">
        <v>-30.005219999999998</v>
      </c>
      <c r="E3973" s="4">
        <f>(((((((((-30.1688487/(10/9))+-10.5)+-0.4)*0.98)*1.11)*0.85)-6.5)+3.2)+-0.3)+0.3</f>
        <v>-38.483987316132897</v>
      </c>
      <c r="F3973" s="4">
        <f>((-1.693312*(1.3/1.5))*0.6)-0.3</f>
        <v>-1.1805222399999999</v>
      </c>
    </row>
    <row r="3974" spans="1:6" x14ac:dyDescent="0.4">
      <c r="A3974" s="4">
        <v>3475.5021000000002</v>
      </c>
      <c r="B3974" s="4">
        <v>1.4132266</v>
      </c>
      <c r="C3974" s="4">
        <v>1.424296</v>
      </c>
      <c r="D3974" s="4">
        <v>-30.004557999999999</v>
      </c>
      <c r="E3974" s="4">
        <f>(((((((((-30.1627512/(10/9))+-10.5)+-0.4)*0.98)*1.11)*0.85)-6.5)+3.2)+-0.3)+0.3</f>
        <v>-38.478913177850401</v>
      </c>
      <c r="F3974" s="4">
        <f>((-1.6891717*(1.3/1.5))*0.6)-0.3</f>
        <v>-1.178369284</v>
      </c>
    </row>
    <row r="3975" spans="1:6" x14ac:dyDescent="0.4">
      <c r="A3975" s="4">
        <v>3476.3770249999998</v>
      </c>
      <c r="B3975" s="4">
        <v>1.4134002000000001</v>
      </c>
      <c r="C3975" s="4">
        <v>1.4242014000000001</v>
      </c>
      <c r="D3975" s="4">
        <v>-30.004344</v>
      </c>
      <c r="E3975" s="4">
        <f>(((((((((-30.1396176/(10/9))+-10.5)+-0.4)*0.98)*1.11)*0.85)-6.5)+3.2)+-0.3)+0.3</f>
        <v>-38.459662159339196</v>
      </c>
      <c r="F3975" s="4">
        <f>((-1.6850027*(1.3/1.5))*0.6)-0.3</f>
        <v>-1.176201404</v>
      </c>
    </row>
    <row r="3976" spans="1:6" x14ac:dyDescent="0.4">
      <c r="A3976" s="4">
        <v>3477.2519500000003</v>
      </c>
      <c r="B3976" s="4">
        <v>1.4136648000000001</v>
      </c>
      <c r="C3976" s="4">
        <v>1.423986</v>
      </c>
      <c r="D3976" s="4">
        <v>-30.004428000000001</v>
      </c>
      <c r="E3976" s="4">
        <f>(((((((((-30.1253733/(10/9))+-10.5)+-0.4)*0.98)*1.11)*0.85)-6.5)+3.2)+-0.3)+0.3</f>
        <v>-38.447808522941102</v>
      </c>
      <c r="F3976" s="4">
        <f>((-1.6807536*(1.3/1.5))*0.6)-0.3</f>
        <v>-1.173991872</v>
      </c>
    </row>
    <row r="3977" spans="1:6" x14ac:dyDescent="0.4">
      <c r="A3977" s="4">
        <v>3478.1268749999999</v>
      </c>
      <c r="B3977" s="4">
        <v>1.4137569999999999</v>
      </c>
      <c r="C3977" s="4">
        <v>1.4240689</v>
      </c>
      <c r="D3977" s="4">
        <v>-30.005247999999998</v>
      </c>
      <c r="E3977" s="4">
        <f>(((((((((-30.1647384/(10/9))+-10.5)+-0.4)*0.98)*1.11)*0.85)-6.5)+3.2)+-0.3)+0.3</f>
        <v>-38.480566860112795</v>
      </c>
      <c r="F3977" s="4">
        <f>((-1.6764544*(1.3/1.5))*0.6)-0.3</f>
        <v>-1.1717562879999999</v>
      </c>
    </row>
    <row r="3978" spans="1:6" x14ac:dyDescent="0.4">
      <c r="A3978" s="4">
        <v>3479.0018</v>
      </c>
      <c r="B3978" s="4">
        <v>1.4137753</v>
      </c>
      <c r="C3978" s="4">
        <v>1.4238772</v>
      </c>
      <c r="D3978" s="4">
        <v>-30.006195999999999</v>
      </c>
      <c r="E3978" s="4">
        <f>(((((((((-30.1445307/(10/9))+-10.5)+-0.4)*0.98)*1.11)*0.85)-6.5)+3.2)+-0.3)+0.3</f>
        <v>-38.463750679026901</v>
      </c>
      <c r="F3978" s="4">
        <f>((-1.6720469*(1.3/1.5))*0.6)-0.3</f>
        <v>-1.169464388</v>
      </c>
    </row>
    <row r="3979" spans="1:6" x14ac:dyDescent="0.4">
      <c r="A3979" s="4">
        <v>3479.8767250000001</v>
      </c>
      <c r="B3979" s="4">
        <v>1.4135933000000001</v>
      </c>
      <c r="C3979" s="4">
        <v>1.4241596000000001</v>
      </c>
      <c r="D3979" s="4">
        <v>-30.007666999999998</v>
      </c>
      <c r="E3979" s="4">
        <f>(((((((((-30.1527189/(10/9))+-10.5)+-0.4)*0.98)*1.11)*0.85)-6.5)+3.2)+-0.3)+0.3</f>
        <v>-38.470564628856302</v>
      </c>
      <c r="F3979" s="4">
        <f>((-1.6676497*(1.3/1.5))*0.6)-0.3</f>
        <v>-1.167177844</v>
      </c>
    </row>
    <row r="3980" spans="1:6" x14ac:dyDescent="0.4">
      <c r="A3980" s="4">
        <v>3480.7516499999997</v>
      </c>
      <c r="B3980" s="4">
        <v>1.4136858000000001</v>
      </c>
      <c r="C3980" s="4">
        <v>1.4239621</v>
      </c>
      <c r="D3980" s="4">
        <v>-30.009273</v>
      </c>
      <c r="E3980" s="4">
        <f>(((((((((-30.1285323/(10/9))+-10.5)+-0.4)*0.98)*1.11)*0.85)-6.5)+3.2)+-0.3)+0.3</f>
        <v>-38.450437338494098</v>
      </c>
      <c r="F3980" s="4">
        <f>((-1.6633283*(1.3/1.5))*0.6)-0.3</f>
        <v>-1.164930716</v>
      </c>
    </row>
    <row r="3981" spans="1:6" x14ac:dyDescent="0.4">
      <c r="A3981" s="4">
        <v>3481.6265750000002</v>
      </c>
      <c r="B3981" s="4">
        <v>1.41364</v>
      </c>
      <c r="C3981" s="4">
        <v>1.4242918</v>
      </c>
      <c r="D3981" s="4">
        <v>-30.011779000000001</v>
      </c>
      <c r="E3981" s="4">
        <f>(((((((((-30.1400541/(10/9))+-10.5)+-0.4)*0.98)*1.11)*0.85)-6.5)+3.2)+-0.3)+0.3</f>
        <v>-38.460025400234699</v>
      </c>
      <c r="F3981" s="4">
        <f>((-1.6590692*(1.3/1.5))*0.6)-0.3</f>
        <v>-1.1627159840000001</v>
      </c>
    </row>
    <row r="3982" spans="1:6" x14ac:dyDescent="0.4">
      <c r="A3982" s="4">
        <v>3482.5014999999999</v>
      </c>
      <c r="B3982" s="4">
        <v>1.4137653999999999</v>
      </c>
      <c r="C3982" s="4">
        <v>1.4247510000000001</v>
      </c>
      <c r="D3982" s="4">
        <v>-30.014267999999998</v>
      </c>
      <c r="E3982" s="4">
        <f>(((((((((-30.134997/(10/9))+-10.5)+-0.4)*0.98)*1.11)*0.85)-6.5)+3.2)+-0.3)+0.3</f>
        <v>-38.455817048499</v>
      </c>
      <c r="F3982" s="4">
        <f>((-1.6548479*(1.3/1.5))*0.6)-0.3</f>
        <v>-1.1605209080000001</v>
      </c>
    </row>
    <row r="3983" spans="1:6" x14ac:dyDescent="0.4">
      <c r="A3983" s="4">
        <v>3483.3764249999999</v>
      </c>
      <c r="B3983" s="4">
        <v>1.4133799</v>
      </c>
      <c r="C3983" s="4">
        <v>1.4244695000000001</v>
      </c>
      <c r="D3983" s="4">
        <v>-30.016942</v>
      </c>
      <c r="E3983" s="4">
        <f>(((((((((-30.1311171/(10/9))+-10.5)+-0.4)*0.98)*1.11)*0.85)-6.5)+3.2)+-0.3)+0.3</f>
        <v>-38.452588323755691</v>
      </c>
      <c r="F3983" s="4">
        <f>((-1.6506988*(1.3/1.5))*0.6)-0.3</f>
        <v>-1.1583633760000001</v>
      </c>
    </row>
    <row r="3984" spans="1:6" x14ac:dyDescent="0.4">
      <c r="A3984" s="4">
        <v>3484.25135</v>
      </c>
      <c r="B3984" s="4">
        <v>1.4134468</v>
      </c>
      <c r="C3984" s="4">
        <v>1.4243992999999999</v>
      </c>
      <c r="D3984" s="4">
        <v>-30.019762999999998</v>
      </c>
      <c r="E3984" s="4">
        <f>(((((((((-30.0973347/(10/9))+-10.5)+-0.4)*0.98)*1.11)*0.85)-6.5)+3.2)+-0.3)+0.3</f>
        <v>-38.424475725294904</v>
      </c>
      <c r="F3984" s="4">
        <f>((-1.6466058*(1.3/1.5))*0.6)-0.3</f>
        <v>-1.1562350159999999</v>
      </c>
    </row>
    <row r="3985" spans="1:6" x14ac:dyDescent="0.4">
      <c r="A3985" s="4">
        <v>3485.1262750000001</v>
      </c>
      <c r="B3985" s="4">
        <v>1.4132283000000001</v>
      </c>
      <c r="C3985" s="4">
        <v>1.4243532000000001</v>
      </c>
      <c r="D3985" s="4">
        <v>-30.022518999999999</v>
      </c>
      <c r="E3985" s="4">
        <f>(((((((((-30.1132368/(10/9))+-10.5)+-0.4)*0.98)*1.11)*0.85)-6.5)+3.2)+-0.3)+0.3</f>
        <v>-38.437708928145597</v>
      </c>
      <c r="F3985" s="4">
        <f>((-1.642555*(1.3/1.5))*0.6)-0.3</f>
        <v>-1.1541285999999999</v>
      </c>
    </row>
    <row r="3986" spans="1:6" x14ac:dyDescent="0.4">
      <c r="A3986" s="4">
        <v>3486.0012000000002</v>
      </c>
      <c r="B3986" s="4">
        <v>1.4131301999999999</v>
      </c>
      <c r="C3986" s="4">
        <v>1.4244775000000001</v>
      </c>
      <c r="D3986" s="4">
        <v>-30.025513999999998</v>
      </c>
      <c r="E3986" s="4">
        <f>(((((((((-30.1320405/(10/9))+-10.5)+-0.4)*0.98)*1.11)*0.85)-6.5)+3.2)+-0.3)+0.3</f>
        <v>-38.453356746763497</v>
      </c>
      <c r="F3986" s="4">
        <f>((-1.6386266*(1.3/1.5))*0.6)-0.3</f>
        <v>-1.152085832</v>
      </c>
    </row>
    <row r="3987" spans="1:6" x14ac:dyDescent="0.4">
      <c r="A3987" s="4">
        <v>3486.8761249999998</v>
      </c>
      <c r="B3987" s="4">
        <v>1.4133179</v>
      </c>
      <c r="C3987" s="4">
        <v>1.4235408000000001</v>
      </c>
      <c r="D3987" s="4">
        <v>-30.028941</v>
      </c>
      <c r="E3987" s="4">
        <f>(((((((((-30.1030434/(10/9))+-10.5)+-0.4)*0.98)*1.11)*0.85)-6.5)+3.2)+-0.3)+0.3</f>
        <v>-38.429226317047799</v>
      </c>
      <c r="F3987" s="4">
        <f>((-1.634868*(1.3/1.5))*0.6)-0.3</f>
        <v>-1.15013136</v>
      </c>
    </row>
    <row r="3988" spans="1:6" x14ac:dyDescent="0.4">
      <c r="A3988" s="4">
        <v>3487.7510499999999</v>
      </c>
      <c r="B3988" s="4">
        <v>1.4126676</v>
      </c>
      <c r="C3988" s="4">
        <v>1.4235405999999999</v>
      </c>
      <c r="D3988" s="4">
        <v>-30.032108999999998</v>
      </c>
      <c r="E3988" s="4">
        <f>(((((((((-30.1045752/(10/9))+-10.5)+-0.4)*0.98)*1.11)*0.85)-6.5)+3.2)+-0.3)+0.3</f>
        <v>-38.430501030458394</v>
      </c>
      <c r="F3988" s="4">
        <f>((-1.6312281*(1.3/1.5))*0.6)-0.3</f>
        <v>-1.1482386119999999</v>
      </c>
    </row>
    <row r="3989" spans="1:6" x14ac:dyDescent="0.4">
      <c r="A3989" s="4">
        <v>3488.6259749999999</v>
      </c>
      <c r="B3989" s="4">
        <v>1.4128391</v>
      </c>
      <c r="C3989" s="4">
        <v>1.4238629</v>
      </c>
      <c r="D3989" s="4">
        <v>-30.035460999999998</v>
      </c>
      <c r="E3989" s="4">
        <f>(((((((((-30.1360779/(10/9))+-10.5)+-0.4)*0.98)*1.11)*0.85)-6.5)+3.2)+-0.3)+0.3</f>
        <v>-38.456716537809292</v>
      </c>
      <c r="F3989" s="4">
        <f>((-1.6276644*(1.3/1.5))*0.6)-0.3</f>
        <v>-1.146385488</v>
      </c>
    </row>
    <row r="3990" spans="1:6" x14ac:dyDescent="0.4">
      <c r="A3990" s="4">
        <v>3489.5009</v>
      </c>
      <c r="B3990" s="4">
        <v>1.4128366999999999</v>
      </c>
      <c r="C3990" s="4">
        <v>1.4239124999999999</v>
      </c>
      <c r="D3990" s="4">
        <v>-30.038933999999998</v>
      </c>
      <c r="E3990" s="4">
        <f>(((((((((-30.1318551/(10/9))+-10.5)+-0.4)*0.98)*1.11)*0.85)-6.5)+3.2)+-0.3)+0.3</f>
        <v>-38.453202463001695</v>
      </c>
      <c r="F3990" s="4">
        <f>((-1.6242189*(1.3/1.5))*0.6)-0.3</f>
        <v>-1.1445938280000001</v>
      </c>
    </row>
    <row r="3991" spans="1:6" x14ac:dyDescent="0.4">
      <c r="A3991" s="4">
        <v>3490.3758250000001</v>
      </c>
      <c r="B3991" s="4">
        <v>1.4132411</v>
      </c>
      <c r="C3991" s="4">
        <v>1.424078</v>
      </c>
      <c r="D3991" s="4">
        <v>-30.042344</v>
      </c>
      <c r="E3991" s="4">
        <f>(((((((((-30.1045923/(10/9))+-10.5)+-0.4)*0.98)*1.11)*0.85)-6.5)+3.2)+-0.3)+0.3</f>
        <v>-38.430515260514099</v>
      </c>
      <c r="F3991" s="4">
        <f>((-1.6209199*(1.3/1.5))*0.6)-0.3</f>
        <v>-1.142878348</v>
      </c>
    </row>
    <row r="3992" spans="1:6" x14ac:dyDescent="0.4">
      <c r="A3992" s="4">
        <v>3491.2507500000002</v>
      </c>
      <c r="B3992" s="4">
        <v>1.4134047999999999</v>
      </c>
      <c r="C3992" s="4">
        <v>1.4245687</v>
      </c>
      <c r="D3992" s="4">
        <v>-30.045997</v>
      </c>
      <c r="E3992" s="4">
        <f>(((((((((-30.0892833/(10/9))+-10.5)+-0.4)*0.98)*1.11)*0.85)-6.5)+3.2)+-0.3)+0.3</f>
        <v>-38.417775615911097</v>
      </c>
      <c r="F3992" s="4">
        <f>((-1.6176904*(1.3/1.5))*0.6)-0.3</f>
        <v>-1.1411990080000001</v>
      </c>
    </row>
    <row r="3993" spans="1:6" x14ac:dyDescent="0.4">
      <c r="A3993" s="4">
        <v>3492.1256749999998</v>
      </c>
      <c r="B3993" s="4">
        <v>1.4131085999999999</v>
      </c>
      <c r="C3993" s="4">
        <v>1.4245166</v>
      </c>
      <c r="D3993" s="4">
        <v>-30.04955</v>
      </c>
      <c r="E3993" s="4">
        <f>(((((((((-30.0921912/(10/9))+-10.5)+-0.4)*0.98)*1.11)*0.85)-6.5)+3.2)+-0.3)+0.3</f>
        <v>-38.420195474330392</v>
      </c>
      <c r="F3993" s="4">
        <f>((-1.6146036*(1.3/1.5))*0.6)-0.3</f>
        <v>-1.1395938720000001</v>
      </c>
    </row>
    <row r="3994" spans="1:6" x14ac:dyDescent="0.4">
      <c r="A3994" s="4">
        <v>3493.0006000000003</v>
      </c>
      <c r="B3994" s="4">
        <v>1.4130225999999999</v>
      </c>
      <c r="C3994" s="4">
        <v>1.4244882000000001</v>
      </c>
      <c r="D3994" s="4">
        <v>-30.053006</v>
      </c>
      <c r="E3994" s="4">
        <f>(((((((((-30.0983778/(10/9))+-10.5)+-0.4)*0.98)*1.11)*0.85)-6.5)+3.2)+-0.3)+0.3</f>
        <v>-38.425343758692598</v>
      </c>
      <c r="F3994" s="4">
        <f>((-1.6116486*(1.3/1.5))*0.6)-0.3</f>
        <v>-1.1380572720000002</v>
      </c>
    </row>
    <row r="3995" spans="1:6" x14ac:dyDescent="0.4">
      <c r="A3995" s="4">
        <v>3493.8755249999999</v>
      </c>
      <c r="B3995" s="4">
        <v>1.4131731999999999</v>
      </c>
      <c r="C3995" s="4">
        <v>1.4242877</v>
      </c>
      <c r="D3995" s="4">
        <v>-30.0566</v>
      </c>
      <c r="E3995" s="4">
        <f>(((((((((-30.1032603/(10/9))+-10.5)+-0.4)*0.98)*1.11)*0.85)-6.5)+3.2)+-0.3)+0.3</f>
        <v>-38.429406814070099</v>
      </c>
      <c r="F3995" s="4">
        <f>((-1.6088562*(1.3/1.5))*0.6)-0.3</f>
        <v>-1.136605224</v>
      </c>
    </row>
    <row r="3996" spans="1:6" x14ac:dyDescent="0.4">
      <c r="A3996" s="4">
        <v>3494.75045</v>
      </c>
      <c r="B3996" s="4">
        <v>1.4130554</v>
      </c>
      <c r="C3996" s="4">
        <v>1.4239419</v>
      </c>
      <c r="D3996" s="4">
        <v>-30.060293999999999</v>
      </c>
      <c r="E3996" s="4">
        <f>(((((((((-30.091896/(10/9))+-10.5)+-0.4)*0.98)*1.11)*0.85)-6.5)+3.2)+-0.3)+0.3</f>
        <v>-38.419949818631991</v>
      </c>
      <c r="F3996" s="4">
        <f>((-1.6062527*(1.3/1.5))*0.6)-0.3</f>
        <v>-1.1352514039999999</v>
      </c>
    </row>
    <row r="3997" spans="1:6" x14ac:dyDescent="0.4">
      <c r="A3997" s="4">
        <v>3495.6253750000001</v>
      </c>
      <c r="B3997" s="4">
        <v>1.4132963000000001</v>
      </c>
      <c r="C3997" s="4">
        <v>1.4243566999999999</v>
      </c>
      <c r="D3997" s="4">
        <v>-30.063770999999999</v>
      </c>
      <c r="E3997" s="4">
        <f>(((((((((-30.1211541/(10/9))+-10.5)+-0.4)*0.98)*1.11)*0.85)-6.5)+3.2)+-0.3)+0.3</f>
        <v>-38.444297443934694</v>
      </c>
      <c r="F3997" s="4">
        <f>((-1.6037695*(1.3/1.5))*0.6)-0.3</f>
        <v>-1.1339601400000001</v>
      </c>
    </row>
    <row r="3998" spans="1:6" x14ac:dyDescent="0.4">
      <c r="A3998" s="4">
        <v>3496.5002999999997</v>
      </c>
      <c r="B3998" s="4">
        <v>1.4134357</v>
      </c>
      <c r="C3998" s="4">
        <v>1.4252450000000001</v>
      </c>
      <c r="D3998" s="4">
        <v>-30.067316999999999</v>
      </c>
      <c r="E3998" s="4">
        <f>(((((((((-30.1085028/(10/9))+-10.5)+-0.4)*0.98)*1.11)*0.85)-6.5)+3.2)+-0.3)+0.3</f>
        <v>-38.433769449567592</v>
      </c>
      <c r="F3998" s="4">
        <f>((-1.6013627*(1.3/1.5))*0.6)-0.3</f>
        <v>-1.1327086040000001</v>
      </c>
    </row>
    <row r="3999" spans="1:6" x14ac:dyDescent="0.4">
      <c r="A3999" s="4">
        <v>3497.3752250000002</v>
      </c>
      <c r="B3999" s="4">
        <v>1.4127312000000001</v>
      </c>
      <c r="C3999" s="4">
        <v>1.4251566</v>
      </c>
      <c r="D3999" s="4">
        <v>-30.070734999999999</v>
      </c>
      <c r="E3999" s="4">
        <f>(((((((((-30.1121145/(10/9))+-10.5)+-0.4)*0.98)*1.11)*0.85)-6.5)+3.2)+-0.3)+0.3</f>
        <v>-38.436774987121495</v>
      </c>
      <c r="F3999" s="4">
        <f>((-1.5991231*(1.3/1.5))*0.6)-0.3</f>
        <v>-1.131544012</v>
      </c>
    </row>
    <row r="4000" spans="1:6" x14ac:dyDescent="0.4">
      <c r="A4000" s="4">
        <v>3498.2501499999998</v>
      </c>
      <c r="B4000" s="4">
        <v>1.4129872000000001</v>
      </c>
      <c r="C4000" s="4">
        <v>1.4259261999999999</v>
      </c>
      <c r="D4000" s="4">
        <v>-30.074113000000001</v>
      </c>
      <c r="E4000" s="4">
        <f>(((((((((-30.1184379/(10/9))+-10.5)+-0.4)*0.98)*1.11)*0.85)-6.5)+3.2)+-0.3)+0.3</f>
        <v>-38.442037111929302</v>
      </c>
      <c r="F4000" s="4">
        <f>((-1.597026*(1.3/1.5))*0.6)-0.3</f>
        <v>-1.1304535199999999</v>
      </c>
    </row>
    <row r="4001" spans="1:6" x14ac:dyDescent="0.4">
      <c r="A4001" s="4">
        <v>3499.1250750000004</v>
      </c>
      <c r="B4001" s="4">
        <v>1.4128289999999999</v>
      </c>
      <c r="C4001" s="4">
        <v>1.4268334</v>
      </c>
      <c r="D4001" s="4">
        <v>-30.077446999999999</v>
      </c>
      <c r="E4001" s="4">
        <f>(((((((((-30.1066551/(10/9))+-10.5)+-0.4)*0.98)*1.11)*0.85)-6.5)+3.2)+-0.3)+0.3</f>
        <v>-38.432231854601696</v>
      </c>
      <c r="F4001" s="4">
        <f>((-1.5950876*(1.3/1.5))*0.6)-0.3</f>
        <v>-1.129445552</v>
      </c>
    </row>
    <row r="4002" spans="1:6" x14ac:dyDescent="0.4">
      <c r="A4002" s="4">
        <v>3500</v>
      </c>
      <c r="B4002" s="4">
        <v>1.4130183000000001</v>
      </c>
      <c r="C4002" s="4">
        <v>1.4275774999999999</v>
      </c>
      <c r="D4002" s="4">
        <v>-30.080579</v>
      </c>
      <c r="E4002" s="4">
        <f>(((((((((-30.1158432/(10/9))+-10.5)+-0.4)*0.98)*1.11)*0.85)-6.5)+3.2)+-0.3)+0.3</f>
        <v>-38.439877888214397</v>
      </c>
      <c r="F4002" s="4">
        <f>((-1.5932804*(1.3/1.5))*0.6)-0.3</f>
        <v>-1.1285058079999999</v>
      </c>
    </row>
    <row r="4003" spans="1:6" x14ac:dyDescent="0.4">
      <c r="A4003" s="4"/>
      <c r="B4003" s="4"/>
      <c r="C4003" s="5"/>
      <c r="D4003" s="4"/>
      <c r="E4003" s="4"/>
      <c r="F4003" s="4"/>
    </row>
    <row r="4004" spans="1:6" x14ac:dyDescent="0.4">
      <c r="A4004" s="4"/>
      <c r="B4004" s="4"/>
      <c r="C4004" s="5"/>
      <c r="D4004" s="4"/>
      <c r="E4004" s="4"/>
      <c r="F4004" s="4"/>
    </row>
    <row r="4005" spans="1:6" x14ac:dyDescent="0.4">
      <c r="A4005" s="4"/>
      <c r="B4005" s="4"/>
      <c r="C4005" s="5"/>
      <c r="D4005" s="4"/>
      <c r="E4005" s="4"/>
      <c r="F4005" s="4"/>
    </row>
    <row r="4006" spans="1:6" x14ac:dyDescent="0.4">
      <c r="A4006" s="4"/>
      <c r="B4006" s="4"/>
      <c r="C4006" s="5"/>
      <c r="D4006" s="4"/>
      <c r="E4006" s="4"/>
      <c r="F4006" s="4"/>
    </row>
    <row r="4007" spans="1:6" x14ac:dyDescent="0.4">
      <c r="A4007" s="4"/>
      <c r="B4007" s="4"/>
      <c r="C4007" s="5"/>
      <c r="D4007" s="4"/>
      <c r="E4007" s="4"/>
      <c r="F4007" s="4"/>
    </row>
    <row r="4008" spans="1:6" x14ac:dyDescent="0.4">
      <c r="A4008" s="4"/>
      <c r="B4008" s="4"/>
      <c r="C4008" s="5"/>
      <c r="D4008" s="4"/>
      <c r="E4008" s="4"/>
      <c r="F4008" s="4"/>
    </row>
    <row r="4009" spans="1:6" x14ac:dyDescent="0.4">
      <c r="A4009" s="4"/>
      <c r="B4009" s="4"/>
      <c r="C4009" s="5"/>
      <c r="D4009" s="4"/>
      <c r="E4009" s="4"/>
      <c r="F4009" s="4"/>
    </row>
    <row r="4010" spans="1:6" x14ac:dyDescent="0.4">
      <c r="A4010" s="4"/>
      <c r="B4010" s="4"/>
      <c r="C4010" s="5"/>
      <c r="D4010" s="4"/>
      <c r="E4010" s="4"/>
      <c r="F4010" s="4"/>
    </row>
    <row r="4011" spans="1:6" x14ac:dyDescent="0.4">
      <c r="A4011" s="4"/>
      <c r="B4011" s="4"/>
      <c r="C4011" s="5"/>
      <c r="D4011" s="4"/>
      <c r="E4011" s="4"/>
      <c r="F4011" s="4"/>
    </row>
    <row r="4012" spans="1:6" x14ac:dyDescent="0.4">
      <c r="A4012" s="4"/>
      <c r="B4012" s="4"/>
      <c r="C4012" s="5"/>
      <c r="D4012" s="4"/>
      <c r="E4012" s="4"/>
      <c r="F4012" s="4"/>
    </row>
    <row r="4013" spans="1:6" x14ac:dyDescent="0.4">
      <c r="A4013" s="4"/>
      <c r="B4013" s="4"/>
      <c r="C4013" s="5"/>
      <c r="D4013" s="4"/>
      <c r="E4013" s="4"/>
      <c r="F4013" s="4"/>
    </row>
    <row r="4014" spans="1:6" x14ac:dyDescent="0.4">
      <c r="A4014" s="4"/>
      <c r="B4014" s="4"/>
      <c r="C4014" s="5"/>
      <c r="D4014" s="4"/>
      <c r="E4014" s="4"/>
      <c r="F4014" s="4"/>
    </row>
    <row r="4015" spans="1:6" x14ac:dyDescent="0.4">
      <c r="A4015" s="4"/>
      <c r="B4015" s="4"/>
      <c r="C4015" s="5"/>
      <c r="D4015" s="4"/>
      <c r="E4015" s="4"/>
      <c r="F4015" s="4"/>
    </row>
    <row r="4016" spans="1:6" x14ac:dyDescent="0.4">
      <c r="A4016" s="4"/>
      <c r="B4016" s="4"/>
      <c r="C4016" s="5"/>
      <c r="D4016" s="4"/>
      <c r="E4016" s="4"/>
      <c r="F4016" s="4"/>
    </row>
    <row r="4017" spans="1:6" x14ac:dyDescent="0.4">
      <c r="A4017" s="4"/>
      <c r="B4017" s="4"/>
      <c r="C4017" s="5"/>
      <c r="D4017" s="4"/>
      <c r="E4017" s="4"/>
      <c r="F4017" s="4"/>
    </row>
    <row r="4018" spans="1:6" x14ac:dyDescent="0.4">
      <c r="A4018" s="4"/>
      <c r="B4018" s="4"/>
      <c r="C4018" s="5"/>
      <c r="D4018" s="4"/>
      <c r="E4018" s="4"/>
      <c r="F4018" s="4"/>
    </row>
    <row r="4019" spans="1:6" x14ac:dyDescent="0.4">
      <c r="A4019" s="4"/>
      <c r="B4019" s="4"/>
      <c r="C4019" s="5"/>
      <c r="D4019" s="4"/>
      <c r="E4019" s="4"/>
      <c r="F4019" s="4"/>
    </row>
    <row r="4020" spans="1:6" x14ac:dyDescent="0.4">
      <c r="A4020" s="4"/>
      <c r="B4020" s="4"/>
      <c r="C4020" s="5"/>
      <c r="D4020" s="4"/>
      <c r="E4020" s="4"/>
      <c r="F4020" s="4"/>
    </row>
    <row r="4021" spans="1:6" x14ac:dyDescent="0.4">
      <c r="A4021" s="4"/>
      <c r="B4021" s="4"/>
      <c r="C4021" s="5"/>
      <c r="D4021" s="4"/>
      <c r="E4021" s="4"/>
      <c r="F4021" s="4"/>
    </row>
    <row r="4022" spans="1:6" x14ac:dyDescent="0.4">
      <c r="A4022" s="4"/>
      <c r="B4022" s="4"/>
      <c r="C4022" s="5"/>
      <c r="D4022" s="4"/>
      <c r="E4022" s="4"/>
      <c r="F4022" s="4"/>
    </row>
    <row r="4023" spans="1:6" x14ac:dyDescent="0.4">
      <c r="A4023" s="4"/>
      <c r="B4023" s="4"/>
      <c r="C4023" s="5"/>
      <c r="D4023" s="4"/>
      <c r="E4023" s="4"/>
      <c r="F4023" s="4"/>
    </row>
    <row r="4024" spans="1:6" x14ac:dyDescent="0.4">
      <c r="A4024" s="4"/>
      <c r="B4024" s="4"/>
      <c r="C4024" s="5"/>
      <c r="D4024" s="4"/>
      <c r="E4024" s="4"/>
      <c r="F4024" s="4"/>
    </row>
    <row r="4025" spans="1:6" x14ac:dyDescent="0.4">
      <c r="A4025" s="4"/>
      <c r="B4025" s="4"/>
      <c r="C4025" s="5"/>
      <c r="D4025" s="4"/>
      <c r="E4025" s="4"/>
      <c r="F4025" s="4"/>
    </row>
    <row r="4026" spans="1:6" x14ac:dyDescent="0.4">
      <c r="A4026" s="4"/>
      <c r="B4026" s="4"/>
      <c r="C4026" s="5"/>
      <c r="D4026" s="4"/>
      <c r="E4026" s="4"/>
      <c r="F4026" s="4"/>
    </row>
    <row r="4027" spans="1:6" x14ac:dyDescent="0.4">
      <c r="A4027" s="4"/>
      <c r="B4027" s="4"/>
      <c r="C4027" s="5"/>
      <c r="D4027" s="4"/>
      <c r="E4027" s="4"/>
      <c r="F4027" s="4"/>
    </row>
    <row r="4028" spans="1:6" x14ac:dyDescent="0.4">
      <c r="A4028" s="4"/>
      <c r="B4028" s="4"/>
      <c r="C4028" s="5"/>
      <c r="D4028" s="4"/>
      <c r="E4028" s="4"/>
      <c r="F4028" s="4"/>
    </row>
    <row r="4029" spans="1:6" x14ac:dyDescent="0.4">
      <c r="A4029" s="4"/>
      <c r="B4029" s="4"/>
      <c r="C4029" s="5"/>
      <c r="D4029" s="4"/>
      <c r="E4029" s="4"/>
      <c r="F4029" s="4"/>
    </row>
    <row r="4030" spans="1:6" x14ac:dyDescent="0.4">
      <c r="A4030" s="4"/>
      <c r="B4030" s="4"/>
      <c r="C4030" s="5"/>
      <c r="D4030" s="4"/>
      <c r="E4030" s="4"/>
      <c r="F4030" s="4"/>
    </row>
    <row r="4031" spans="1:6" x14ac:dyDescent="0.4">
      <c r="A4031" s="4"/>
      <c r="B4031" s="4"/>
      <c r="C4031" s="5"/>
      <c r="D4031" s="4"/>
      <c r="E4031" s="4"/>
      <c r="F4031" s="4"/>
    </row>
    <row r="4032" spans="1:6" x14ac:dyDescent="0.4">
      <c r="A4032" s="4"/>
      <c r="B4032" s="4"/>
      <c r="C4032" s="5"/>
      <c r="D4032" s="4"/>
      <c r="E4032" s="4"/>
      <c r="F4032" s="4"/>
    </row>
    <row r="4033" spans="1:6" x14ac:dyDescent="0.4">
      <c r="A4033" s="4"/>
      <c r="B4033" s="4"/>
      <c r="C4033" s="5"/>
      <c r="D4033" s="4"/>
      <c r="E4033" s="4"/>
      <c r="F4033" s="4"/>
    </row>
    <row r="4034" spans="1:6" x14ac:dyDescent="0.4">
      <c r="A4034" s="4"/>
      <c r="B4034" s="4"/>
      <c r="C4034" s="5"/>
      <c r="D4034" s="4"/>
      <c r="E4034" s="4"/>
      <c r="F4034" s="4"/>
    </row>
    <row r="4035" spans="1:6" x14ac:dyDescent="0.4">
      <c r="A4035" s="4"/>
      <c r="B4035" s="4"/>
      <c r="C4035" s="5"/>
      <c r="D4035" s="4"/>
      <c r="E4035" s="4"/>
      <c r="F4035" s="4"/>
    </row>
    <row r="4036" spans="1:6" x14ac:dyDescent="0.4">
      <c r="A4036" s="4"/>
      <c r="B4036" s="4"/>
      <c r="C4036" s="5"/>
      <c r="D4036" s="4"/>
      <c r="E4036" s="4"/>
      <c r="F4036" s="4"/>
    </row>
    <row r="4037" spans="1:6" x14ac:dyDescent="0.4">
      <c r="A4037" s="4"/>
      <c r="B4037" s="4"/>
      <c r="C4037" s="5"/>
      <c r="D4037" s="4"/>
      <c r="E4037" s="4"/>
      <c r="F4037" s="4"/>
    </row>
    <row r="4038" spans="1:6" x14ac:dyDescent="0.4">
      <c r="A4038" s="4"/>
      <c r="B4038" s="4"/>
      <c r="C4038" s="5"/>
      <c r="D4038" s="4"/>
      <c r="E4038" s="4"/>
      <c r="F4038" s="4"/>
    </row>
    <row r="4039" spans="1:6" x14ac:dyDescent="0.4">
      <c r="A4039" s="4"/>
      <c r="B4039" s="4"/>
      <c r="C4039" s="5"/>
      <c r="D4039" s="4"/>
      <c r="E4039" s="4"/>
      <c r="F4039" s="4"/>
    </row>
    <row r="4040" spans="1:6" x14ac:dyDescent="0.4">
      <c r="A4040" s="4"/>
      <c r="B4040" s="4"/>
      <c r="C4040" s="5"/>
      <c r="D4040" s="4"/>
      <c r="E4040" s="4"/>
      <c r="F4040" s="4"/>
    </row>
    <row r="4041" spans="1:6" x14ac:dyDescent="0.4">
      <c r="A4041" s="4"/>
      <c r="B4041" s="4"/>
      <c r="C4041" s="5"/>
      <c r="D4041" s="4"/>
      <c r="E4041" s="4"/>
      <c r="F4041" s="4"/>
    </row>
    <row r="4042" spans="1:6" x14ac:dyDescent="0.4">
      <c r="A4042" s="4"/>
      <c r="B4042" s="4"/>
      <c r="C4042" s="5"/>
      <c r="D4042" s="4"/>
      <c r="E4042" s="4"/>
      <c r="F4042" s="4"/>
    </row>
    <row r="4043" spans="1:6" x14ac:dyDescent="0.4">
      <c r="A4043" s="4"/>
      <c r="B4043" s="4"/>
      <c r="C4043" s="5"/>
      <c r="D4043" s="4"/>
      <c r="E4043" s="4"/>
      <c r="F4043" s="4"/>
    </row>
    <row r="4044" spans="1:6" x14ac:dyDescent="0.4">
      <c r="A4044" s="4"/>
      <c r="B4044" s="4"/>
      <c r="C4044" s="5"/>
      <c r="D4044" s="4"/>
      <c r="E4044" s="4"/>
      <c r="F4044" s="4"/>
    </row>
    <row r="4045" spans="1:6" x14ac:dyDescent="0.4">
      <c r="A4045" s="4"/>
      <c r="B4045" s="4"/>
      <c r="C4045" s="5"/>
      <c r="D4045" s="4"/>
      <c r="E4045" s="4"/>
      <c r="F4045" s="4"/>
    </row>
    <row r="4046" spans="1:6" x14ac:dyDescent="0.4">
      <c r="A4046" s="4"/>
      <c r="B4046" s="4"/>
      <c r="C4046" s="5"/>
      <c r="D4046" s="4"/>
      <c r="E4046" s="4"/>
      <c r="F4046" s="4"/>
    </row>
    <row r="4047" spans="1:6" x14ac:dyDescent="0.4">
      <c r="A4047" s="4"/>
      <c r="B4047" s="4"/>
      <c r="C4047" s="5"/>
      <c r="D4047" s="4"/>
      <c r="E4047" s="4"/>
      <c r="F4047" s="4"/>
    </row>
    <row r="4048" spans="1:6" x14ac:dyDescent="0.4">
      <c r="A4048" s="4"/>
      <c r="B4048" s="4"/>
      <c r="C4048" s="5"/>
      <c r="D4048" s="4"/>
      <c r="E4048" s="4"/>
      <c r="F4048" s="4"/>
    </row>
    <row r="4049" spans="1:6" x14ac:dyDescent="0.4">
      <c r="A4049" s="4"/>
      <c r="B4049" s="4"/>
      <c r="C4049" s="5"/>
      <c r="D4049" s="4"/>
      <c r="E4049" s="4"/>
      <c r="F4049" s="4"/>
    </row>
    <row r="4050" spans="1:6" x14ac:dyDescent="0.4">
      <c r="A4050" s="4"/>
      <c r="B4050" s="4"/>
      <c r="C4050" s="5"/>
      <c r="D4050" s="4"/>
      <c r="E4050" s="4"/>
      <c r="F4050" s="4"/>
    </row>
    <row r="4051" spans="1:6" x14ac:dyDescent="0.4">
      <c r="A4051" s="4"/>
      <c r="B4051" s="4"/>
      <c r="C4051" s="5"/>
      <c r="D4051" s="4"/>
      <c r="E4051" s="4"/>
      <c r="F4051" s="4"/>
    </row>
    <row r="4052" spans="1:6" x14ac:dyDescent="0.4">
      <c r="A4052" s="4"/>
      <c r="B4052" s="4"/>
      <c r="C4052" s="5"/>
      <c r="D4052" s="4"/>
      <c r="E4052" s="4"/>
      <c r="F4052" s="4"/>
    </row>
    <row r="4053" spans="1:6" x14ac:dyDescent="0.4">
      <c r="A4053" s="4"/>
      <c r="B4053" s="4"/>
      <c r="C4053" s="5"/>
      <c r="D4053" s="4"/>
      <c r="E4053" s="4"/>
      <c r="F4053" s="4"/>
    </row>
    <row r="4054" spans="1:6" x14ac:dyDescent="0.4">
      <c r="A4054" s="4"/>
      <c r="B4054" s="4"/>
      <c r="C4054" s="5"/>
      <c r="D4054" s="4"/>
      <c r="E4054" s="4"/>
      <c r="F4054" s="4"/>
    </row>
    <row r="4055" spans="1:6" x14ac:dyDescent="0.4">
      <c r="A4055" s="4"/>
      <c r="B4055" s="4"/>
      <c r="C4055" s="5"/>
      <c r="D4055" s="4"/>
      <c r="E4055" s="4"/>
      <c r="F4055" s="4"/>
    </row>
    <row r="4056" spans="1:6" x14ac:dyDescent="0.4">
      <c r="A4056" s="4"/>
      <c r="B4056" s="4"/>
      <c r="C4056" s="5"/>
      <c r="D4056" s="4"/>
      <c r="E4056" s="4"/>
      <c r="F4056" s="4"/>
    </row>
    <row r="4057" spans="1:6" x14ac:dyDescent="0.4">
      <c r="A4057" s="4"/>
      <c r="B4057" s="4"/>
      <c r="C4057" s="5"/>
      <c r="D4057" s="4"/>
      <c r="E4057" s="4"/>
      <c r="F4057" s="4"/>
    </row>
    <row r="4058" spans="1:6" x14ac:dyDescent="0.4">
      <c r="A4058" s="4"/>
      <c r="B4058" s="4"/>
      <c r="C4058" s="5"/>
      <c r="D4058" s="4"/>
      <c r="E4058" s="4"/>
      <c r="F4058" s="4"/>
    </row>
    <row r="4059" spans="1:6" x14ac:dyDescent="0.4">
      <c r="A4059" s="4"/>
      <c r="B4059" s="4"/>
      <c r="C4059" s="5"/>
      <c r="D4059" s="4"/>
      <c r="E4059" s="4"/>
      <c r="F4059" s="4"/>
    </row>
    <row r="4060" spans="1:6" x14ac:dyDescent="0.4">
      <c r="A4060" s="4"/>
      <c r="B4060" s="4"/>
      <c r="C4060" s="5"/>
      <c r="D4060" s="4"/>
      <c r="E4060" s="4"/>
      <c r="F4060" s="4"/>
    </row>
    <row r="4061" spans="1:6" x14ac:dyDescent="0.4">
      <c r="A4061" s="4"/>
      <c r="B4061" s="4"/>
      <c r="C4061" s="5"/>
      <c r="D4061" s="4"/>
      <c r="E4061" s="4"/>
      <c r="F4061" s="4"/>
    </row>
    <row r="4062" spans="1:6" x14ac:dyDescent="0.4">
      <c r="A4062" s="4"/>
      <c r="B4062" s="4"/>
      <c r="C4062" s="5"/>
      <c r="D4062" s="4"/>
      <c r="E4062" s="4"/>
      <c r="F4062" s="4"/>
    </row>
    <row r="4063" spans="1:6" x14ac:dyDescent="0.4">
      <c r="A4063" s="4"/>
      <c r="B4063" s="4"/>
      <c r="C4063" s="5"/>
      <c r="D4063" s="4"/>
      <c r="E4063" s="4"/>
      <c r="F4063" s="4"/>
    </row>
    <row r="4064" spans="1:6" x14ac:dyDescent="0.4">
      <c r="A4064" s="4"/>
      <c r="B4064" s="4"/>
      <c r="C4064" s="5"/>
      <c r="D4064" s="4"/>
      <c r="E4064" s="4"/>
      <c r="F4064" s="4"/>
    </row>
    <row r="4065" spans="1:6" x14ac:dyDescent="0.4">
      <c r="A4065" s="4"/>
      <c r="B4065" s="4"/>
      <c r="C4065" s="5"/>
      <c r="D4065" s="4"/>
      <c r="E4065" s="4"/>
      <c r="F4065" s="4"/>
    </row>
    <row r="4066" spans="1:6" x14ac:dyDescent="0.4">
      <c r="A4066" s="4"/>
      <c r="B4066" s="4"/>
      <c r="C4066" s="5"/>
      <c r="D4066" s="4"/>
      <c r="E4066" s="4"/>
      <c r="F4066" s="4"/>
    </row>
    <row r="4067" spans="1:6" x14ac:dyDescent="0.4">
      <c r="A4067" s="4"/>
      <c r="B4067" s="4"/>
      <c r="C4067" s="5"/>
      <c r="D4067" s="4"/>
      <c r="E4067" s="4"/>
      <c r="F4067" s="4"/>
    </row>
    <row r="4068" spans="1:6" x14ac:dyDescent="0.4">
      <c r="A4068" s="4"/>
      <c r="B4068" s="4"/>
      <c r="C4068" s="5"/>
      <c r="D4068" s="4"/>
      <c r="E4068" s="4"/>
      <c r="F4068" s="4"/>
    </row>
    <row r="4069" spans="1:6" x14ac:dyDescent="0.4">
      <c r="A4069" s="4"/>
      <c r="B4069" s="4"/>
      <c r="C4069" s="5"/>
      <c r="D4069" s="4"/>
      <c r="E4069" s="4"/>
      <c r="F4069" s="4"/>
    </row>
    <row r="4070" spans="1:6" x14ac:dyDescent="0.4">
      <c r="A4070" s="4"/>
      <c r="B4070" s="4"/>
      <c r="C4070" s="5"/>
      <c r="D4070" s="4"/>
      <c r="E4070" s="4"/>
      <c r="F4070" s="4"/>
    </row>
    <row r="4071" spans="1:6" x14ac:dyDescent="0.4">
      <c r="A4071" s="4"/>
      <c r="B4071" s="4"/>
      <c r="C4071" s="5"/>
      <c r="D4071" s="4"/>
      <c r="E4071" s="4"/>
      <c r="F4071" s="4"/>
    </row>
    <row r="4072" spans="1:6" x14ac:dyDescent="0.4">
      <c r="A4072" s="4"/>
      <c r="B4072" s="4"/>
      <c r="C4072" s="5"/>
      <c r="D4072" s="4"/>
      <c r="E4072" s="4"/>
      <c r="F4072" s="4"/>
    </row>
    <row r="4073" spans="1:6" x14ac:dyDescent="0.4">
      <c r="A4073" s="4"/>
      <c r="B4073" s="4"/>
      <c r="C4073" s="5"/>
      <c r="D4073" s="4"/>
      <c r="E4073" s="4"/>
      <c r="F4073" s="4"/>
    </row>
    <row r="4074" spans="1:6" x14ac:dyDescent="0.4">
      <c r="A4074" s="4"/>
      <c r="B4074" s="4"/>
      <c r="C4074" s="5"/>
      <c r="D4074" s="4"/>
      <c r="E4074" s="4"/>
      <c r="F4074" s="4"/>
    </row>
    <row r="4075" spans="1:6" x14ac:dyDescent="0.4">
      <c r="A4075" s="4"/>
      <c r="B4075" s="4"/>
      <c r="C4075" s="5"/>
      <c r="D4075" s="4"/>
      <c r="E4075" s="4"/>
      <c r="F4075" s="4"/>
    </row>
    <row r="4076" spans="1:6" x14ac:dyDescent="0.4">
      <c r="A4076" s="4"/>
      <c r="B4076" s="4"/>
      <c r="C4076" s="5"/>
      <c r="D4076" s="4"/>
      <c r="E4076" s="4"/>
      <c r="F4076" s="4"/>
    </row>
    <row r="4077" spans="1:6" x14ac:dyDescent="0.4">
      <c r="A4077" s="4"/>
      <c r="B4077" s="4"/>
      <c r="C4077" s="5"/>
      <c r="D4077" s="4"/>
      <c r="E4077" s="4"/>
      <c r="F4077" s="4"/>
    </row>
    <row r="4078" spans="1:6" x14ac:dyDescent="0.4">
      <c r="A4078" s="4"/>
      <c r="B4078" s="4"/>
      <c r="C4078" s="5"/>
      <c r="D4078" s="4"/>
      <c r="E4078" s="4"/>
      <c r="F4078" s="4"/>
    </row>
    <row r="4079" spans="1:6" x14ac:dyDescent="0.4">
      <c r="A4079" s="4"/>
      <c r="B4079" s="4"/>
      <c r="C4079" s="5"/>
      <c r="D4079" s="4"/>
      <c r="E4079" s="4"/>
      <c r="F4079" s="4"/>
    </row>
    <row r="4080" spans="1:6" x14ac:dyDescent="0.4">
      <c r="A4080" s="4"/>
      <c r="B4080" s="4"/>
      <c r="C4080" s="5"/>
      <c r="D4080" s="4"/>
      <c r="E4080" s="4"/>
      <c r="F4080" s="4"/>
    </row>
    <row r="4081" spans="1:6" x14ac:dyDescent="0.4">
      <c r="A4081" s="4"/>
      <c r="B4081" s="4"/>
      <c r="C4081" s="5"/>
      <c r="D4081" s="4"/>
      <c r="E4081" s="4"/>
      <c r="F4081" s="4"/>
    </row>
    <row r="4082" spans="1:6" x14ac:dyDescent="0.4">
      <c r="A4082" s="4"/>
      <c r="B4082" s="4"/>
      <c r="C4082" s="5"/>
      <c r="D4082" s="4"/>
      <c r="E4082" s="4"/>
      <c r="F4082" s="4"/>
    </row>
    <row r="4083" spans="1:6" x14ac:dyDescent="0.4">
      <c r="A4083" s="4"/>
      <c r="B4083" s="4"/>
      <c r="C4083" s="5"/>
      <c r="D4083" s="4"/>
      <c r="E4083" s="4"/>
      <c r="F4083" s="4"/>
    </row>
    <row r="4084" spans="1:6" x14ac:dyDescent="0.4">
      <c r="A4084" s="4"/>
      <c r="B4084" s="4"/>
      <c r="C4084" s="5"/>
      <c r="D4084" s="4"/>
      <c r="E4084" s="4"/>
      <c r="F4084" s="4"/>
    </row>
    <row r="4085" spans="1:6" x14ac:dyDescent="0.4">
      <c r="A4085" s="4"/>
      <c r="B4085" s="4"/>
      <c r="C4085" s="5"/>
      <c r="D4085" s="4"/>
      <c r="E4085" s="4"/>
      <c r="F4085" s="4"/>
    </row>
    <row r="4086" spans="1:6" x14ac:dyDescent="0.4">
      <c r="A4086" s="4"/>
      <c r="B4086" s="4"/>
      <c r="C4086" s="5"/>
      <c r="D4086" s="4"/>
      <c r="E4086" s="4"/>
      <c r="F4086" s="4"/>
    </row>
    <row r="4087" spans="1:6" x14ac:dyDescent="0.4">
      <c r="A4087" s="4"/>
      <c r="B4087" s="4"/>
      <c r="C4087" s="5"/>
      <c r="D4087" s="4"/>
      <c r="E4087" s="4"/>
      <c r="F4087" s="4"/>
    </row>
    <row r="4088" spans="1:6" x14ac:dyDescent="0.4">
      <c r="A4088" s="4"/>
      <c r="B4088" s="4"/>
      <c r="C4088" s="5"/>
      <c r="D4088" s="4"/>
      <c r="E4088" s="4"/>
      <c r="F4088" s="4"/>
    </row>
    <row r="4089" spans="1:6" x14ac:dyDescent="0.4">
      <c r="A4089" s="4"/>
      <c r="B4089" s="4"/>
      <c r="C4089" s="5"/>
      <c r="D4089" s="4"/>
      <c r="E4089" s="4"/>
      <c r="F4089" s="4"/>
    </row>
    <row r="4090" spans="1:6" x14ac:dyDescent="0.4">
      <c r="A4090" s="4"/>
      <c r="B4090" s="4"/>
      <c r="C4090" s="5"/>
      <c r="D4090" s="4"/>
      <c r="E4090" s="4"/>
      <c r="F4090" s="4"/>
    </row>
    <row r="4091" spans="1:6" x14ac:dyDescent="0.4">
      <c r="A4091" s="4"/>
      <c r="B4091" s="4"/>
      <c r="C4091" s="5"/>
      <c r="D4091" s="4"/>
      <c r="E4091" s="4"/>
      <c r="F4091" s="4"/>
    </row>
    <row r="4092" spans="1:6" x14ac:dyDescent="0.4">
      <c r="A4092" s="4"/>
      <c r="B4092" s="4"/>
      <c r="C4092" s="5"/>
      <c r="D4092" s="4"/>
      <c r="E4092" s="4"/>
      <c r="F4092" s="4"/>
    </row>
    <row r="4093" spans="1:6" x14ac:dyDescent="0.4">
      <c r="A4093" s="4"/>
      <c r="B4093" s="4"/>
      <c r="C4093" s="5"/>
      <c r="D4093" s="4"/>
      <c r="E4093" s="4"/>
      <c r="F4093" s="4"/>
    </row>
    <row r="4094" spans="1:6" x14ac:dyDescent="0.4">
      <c r="A4094" s="4"/>
      <c r="B4094" s="4"/>
      <c r="C4094" s="5"/>
      <c r="D4094" s="4"/>
      <c r="E4094" s="4"/>
      <c r="F4094" s="4"/>
    </row>
    <row r="4095" spans="1:6" x14ac:dyDescent="0.4">
      <c r="A4095" s="4"/>
      <c r="B4095" s="4"/>
      <c r="C4095" s="5"/>
      <c r="D4095" s="4"/>
      <c r="E4095" s="4"/>
      <c r="F4095" s="4"/>
    </row>
    <row r="4096" spans="1:6" x14ac:dyDescent="0.4">
      <c r="A4096" s="4"/>
      <c r="B4096" s="4"/>
      <c r="C4096" s="5"/>
      <c r="D4096" s="4"/>
      <c r="E4096" s="4"/>
      <c r="F4096" s="4"/>
    </row>
    <row r="4097" spans="1:6" x14ac:dyDescent="0.4">
      <c r="A4097" s="4"/>
      <c r="B4097" s="4"/>
      <c r="C4097" s="5"/>
      <c r="D4097" s="4"/>
      <c r="E4097" s="4"/>
      <c r="F4097" s="4"/>
    </row>
    <row r="4098" spans="1:6" x14ac:dyDescent="0.4">
      <c r="A4098" s="4"/>
      <c r="B4098" s="4"/>
      <c r="C4098" s="5"/>
      <c r="D4098" s="4"/>
      <c r="E4098" s="4"/>
      <c r="F4098" s="4"/>
    </row>
    <row r="4099" spans="1:6" x14ac:dyDescent="0.4">
      <c r="A4099" s="4"/>
      <c r="B4099" s="4"/>
      <c r="C4099" s="5"/>
      <c r="D4099" s="4"/>
      <c r="E4099" s="4"/>
      <c r="F4099" s="4"/>
    </row>
    <row r="4100" spans="1:6" x14ac:dyDescent="0.4">
      <c r="A4100" s="4"/>
      <c r="B4100" s="4"/>
      <c r="C4100" s="5"/>
      <c r="D4100" s="4"/>
      <c r="E4100" s="4"/>
      <c r="F4100" s="4"/>
    </row>
    <row r="4101" spans="1:6" x14ac:dyDescent="0.4">
      <c r="A4101" s="4"/>
      <c r="B4101" s="4"/>
      <c r="C4101" s="5"/>
      <c r="D4101" s="4"/>
      <c r="E4101" s="4"/>
      <c r="F4101" s="4"/>
    </row>
    <row r="4102" spans="1:6" x14ac:dyDescent="0.4">
      <c r="A4102" s="4"/>
      <c r="B4102" s="4"/>
      <c r="C4102" s="5"/>
      <c r="D4102" s="4"/>
      <c r="E4102" s="4"/>
      <c r="F4102" s="4"/>
    </row>
    <row r="4103" spans="1:6" x14ac:dyDescent="0.4">
      <c r="A4103" s="4"/>
      <c r="B4103" s="4"/>
      <c r="C4103" s="5"/>
      <c r="D4103" s="4"/>
      <c r="E4103" s="4"/>
      <c r="F4103" s="4"/>
    </row>
    <row r="4104" spans="1:6" x14ac:dyDescent="0.4">
      <c r="A4104" s="4"/>
      <c r="B4104" s="4"/>
      <c r="C4104" s="5"/>
      <c r="D4104" s="4"/>
      <c r="E4104" s="4"/>
      <c r="F4104" s="4"/>
    </row>
    <row r="4105" spans="1:6" x14ac:dyDescent="0.4">
      <c r="A4105" s="4"/>
      <c r="B4105" s="4"/>
      <c r="C4105" s="5"/>
      <c r="D4105" s="4"/>
      <c r="E4105" s="4"/>
      <c r="F4105" s="4"/>
    </row>
    <row r="4106" spans="1:6" x14ac:dyDescent="0.4">
      <c r="A4106" s="4"/>
      <c r="B4106" s="4"/>
      <c r="C4106" s="5"/>
      <c r="D4106" s="4"/>
      <c r="E4106" s="4"/>
      <c r="F4106" s="4"/>
    </row>
    <row r="4107" spans="1:6" x14ac:dyDescent="0.4">
      <c r="A4107" s="4"/>
      <c r="B4107" s="4"/>
      <c r="C4107" s="5"/>
      <c r="D4107" s="4"/>
      <c r="E4107" s="4"/>
      <c r="F4107" s="4"/>
    </row>
    <row r="4108" spans="1:6" x14ac:dyDescent="0.4">
      <c r="A4108" s="4"/>
      <c r="B4108" s="4"/>
      <c r="C4108" s="5"/>
      <c r="D4108" s="4"/>
      <c r="E4108" s="4"/>
      <c r="F4108" s="4"/>
    </row>
    <row r="4109" spans="1:6" x14ac:dyDescent="0.4">
      <c r="A4109" s="4"/>
      <c r="B4109" s="4"/>
      <c r="C4109" s="5"/>
      <c r="D4109" s="4"/>
      <c r="E4109" s="4"/>
      <c r="F4109" s="4"/>
    </row>
    <row r="4110" spans="1:6" x14ac:dyDescent="0.4">
      <c r="A4110" s="4"/>
      <c r="B4110" s="4"/>
      <c r="C4110" s="5"/>
      <c r="D4110" s="4"/>
      <c r="E4110" s="4"/>
      <c r="F4110" s="4"/>
    </row>
    <row r="4111" spans="1:6" x14ac:dyDescent="0.4">
      <c r="A4111" s="4"/>
      <c r="B4111" s="4"/>
      <c r="C4111" s="5"/>
      <c r="D4111" s="4"/>
      <c r="E4111" s="4"/>
      <c r="F4111" s="4"/>
    </row>
    <row r="4112" spans="1:6" x14ac:dyDescent="0.4">
      <c r="A4112" s="4"/>
      <c r="B4112" s="4"/>
      <c r="C4112" s="5"/>
      <c r="D4112" s="4"/>
      <c r="E4112" s="4"/>
      <c r="F4112" s="4"/>
    </row>
    <row r="4113" spans="1:6" x14ac:dyDescent="0.4">
      <c r="A4113" s="4"/>
      <c r="B4113" s="4"/>
      <c r="C4113" s="5"/>
      <c r="D4113" s="4"/>
      <c r="E4113" s="4"/>
      <c r="F4113" s="4"/>
    </row>
    <row r="4114" spans="1:6" x14ac:dyDescent="0.4">
      <c r="A4114" s="4"/>
      <c r="B4114" s="4"/>
      <c r="C4114" s="5"/>
      <c r="D4114" s="4"/>
      <c r="E4114" s="4"/>
      <c r="F4114" s="4"/>
    </row>
    <row r="4115" spans="1:6" x14ac:dyDescent="0.4">
      <c r="A4115" s="4"/>
      <c r="B4115" s="4"/>
      <c r="C4115" s="5"/>
      <c r="D4115" s="4"/>
      <c r="E4115" s="4"/>
      <c r="F4115" s="4"/>
    </row>
    <row r="4116" spans="1:6" x14ac:dyDescent="0.4">
      <c r="A4116" s="4"/>
      <c r="B4116" s="4"/>
      <c r="C4116" s="5"/>
      <c r="D4116" s="4"/>
      <c r="E4116" s="4"/>
      <c r="F4116" s="4"/>
    </row>
    <row r="4117" spans="1:6" x14ac:dyDescent="0.4">
      <c r="A4117" s="4"/>
      <c r="B4117" s="4"/>
      <c r="C4117" s="5"/>
      <c r="D4117" s="4"/>
      <c r="E4117" s="4"/>
      <c r="F4117" s="4"/>
    </row>
    <row r="4118" spans="1:6" x14ac:dyDescent="0.4">
      <c r="A4118" s="4"/>
      <c r="B4118" s="4"/>
      <c r="C4118" s="5"/>
      <c r="D4118" s="4"/>
      <c r="E4118" s="4"/>
      <c r="F4118" s="4"/>
    </row>
    <row r="4119" spans="1:6" x14ac:dyDescent="0.4">
      <c r="A4119" s="4"/>
      <c r="B4119" s="4"/>
      <c r="C4119" s="5"/>
      <c r="D4119" s="4"/>
      <c r="E4119" s="4"/>
      <c r="F4119" s="4"/>
    </row>
    <row r="4120" spans="1:6" x14ac:dyDescent="0.4">
      <c r="A4120" s="4"/>
      <c r="B4120" s="4"/>
      <c r="C4120" s="5"/>
      <c r="D4120" s="4"/>
      <c r="E4120" s="4"/>
      <c r="F4120" s="4"/>
    </row>
    <row r="4121" spans="1:6" x14ac:dyDescent="0.4">
      <c r="A4121" s="4"/>
      <c r="B4121" s="4"/>
      <c r="C4121" s="5"/>
      <c r="D4121" s="4"/>
      <c r="E4121" s="4"/>
      <c r="F4121" s="4"/>
    </row>
    <row r="4122" spans="1:6" x14ac:dyDescent="0.4">
      <c r="A4122" s="4"/>
      <c r="B4122" s="4"/>
      <c r="C4122" s="5"/>
      <c r="D4122" s="4"/>
      <c r="E4122" s="4"/>
      <c r="F4122" s="4"/>
    </row>
    <row r="4123" spans="1:6" x14ac:dyDescent="0.4">
      <c r="A4123" s="4"/>
      <c r="B4123" s="4"/>
      <c r="C4123" s="5"/>
      <c r="D4123" s="4"/>
      <c r="E4123" s="4"/>
      <c r="F4123" s="4"/>
    </row>
    <row r="4124" spans="1:6" x14ac:dyDescent="0.4">
      <c r="A4124" s="4"/>
      <c r="B4124" s="4"/>
      <c r="C4124" s="5"/>
      <c r="D4124" s="4"/>
      <c r="E4124" s="4"/>
      <c r="F4124" s="4"/>
    </row>
    <row r="4125" spans="1:6" x14ac:dyDescent="0.4">
      <c r="A4125" s="4"/>
      <c r="B4125" s="4"/>
      <c r="C4125" s="5"/>
      <c r="D4125" s="4"/>
      <c r="E4125" s="4"/>
      <c r="F4125" s="4"/>
    </row>
    <row r="4126" spans="1:6" x14ac:dyDescent="0.4">
      <c r="A4126" s="4"/>
      <c r="B4126" s="4"/>
      <c r="C4126" s="5"/>
      <c r="D4126" s="4"/>
      <c r="E4126" s="4"/>
      <c r="F4126" s="4"/>
    </row>
    <row r="4127" spans="1:6" x14ac:dyDescent="0.4">
      <c r="A4127" s="4"/>
      <c r="B4127" s="4"/>
      <c r="C4127" s="5"/>
      <c r="D4127" s="4"/>
      <c r="E4127" s="4"/>
      <c r="F4127" s="4"/>
    </row>
    <row r="4128" spans="1:6" x14ac:dyDescent="0.4">
      <c r="A4128" s="4"/>
      <c r="B4128" s="4"/>
      <c r="C4128" s="5"/>
      <c r="D4128" s="4"/>
      <c r="E4128" s="4"/>
      <c r="F4128" s="4"/>
    </row>
    <row r="4129" spans="1:6" x14ac:dyDescent="0.4">
      <c r="A4129" s="4"/>
      <c r="B4129" s="4"/>
      <c r="C4129" s="5"/>
      <c r="D4129" s="4"/>
      <c r="E4129" s="4"/>
      <c r="F4129" s="4"/>
    </row>
    <row r="4130" spans="1:6" x14ac:dyDescent="0.4">
      <c r="A4130" s="4"/>
      <c r="B4130" s="4"/>
      <c r="C4130" s="5"/>
      <c r="D4130" s="4"/>
      <c r="E4130" s="4"/>
      <c r="F4130" s="4"/>
    </row>
    <row r="4131" spans="1:6" x14ac:dyDescent="0.4">
      <c r="A4131" s="4"/>
      <c r="B4131" s="4"/>
      <c r="C4131" s="5"/>
      <c r="D4131" s="4"/>
      <c r="E4131" s="4"/>
      <c r="F4131" s="4"/>
    </row>
    <row r="4132" spans="1:6" x14ac:dyDescent="0.4">
      <c r="A4132" s="4"/>
      <c r="B4132" s="4"/>
      <c r="C4132" s="5"/>
      <c r="D4132" s="4"/>
      <c r="E4132" s="4"/>
      <c r="F4132" s="4"/>
    </row>
    <row r="4133" spans="1:6" x14ac:dyDescent="0.4">
      <c r="A4133" s="4"/>
      <c r="B4133" s="4"/>
      <c r="C4133" s="5"/>
      <c r="D4133" s="4"/>
      <c r="E4133" s="4"/>
      <c r="F4133" s="4"/>
    </row>
    <row r="4134" spans="1:6" x14ac:dyDescent="0.4">
      <c r="A4134" s="4"/>
      <c r="B4134" s="4"/>
      <c r="C4134" s="5"/>
      <c r="D4134" s="4"/>
      <c r="E4134" s="4"/>
      <c r="F4134" s="4"/>
    </row>
    <row r="4135" spans="1:6" x14ac:dyDescent="0.4">
      <c r="A4135" s="4"/>
      <c r="B4135" s="4"/>
      <c r="C4135" s="5"/>
      <c r="D4135" s="4"/>
      <c r="E4135" s="4"/>
      <c r="F4135" s="4"/>
    </row>
    <row r="4136" spans="1:6" x14ac:dyDescent="0.4">
      <c r="A4136" s="4"/>
      <c r="B4136" s="4"/>
      <c r="C4136" s="5"/>
      <c r="D4136" s="4"/>
      <c r="E4136" s="4"/>
      <c r="F4136" s="4"/>
    </row>
    <row r="4137" spans="1:6" x14ac:dyDescent="0.4">
      <c r="A4137" s="4"/>
      <c r="B4137" s="4"/>
      <c r="C4137" s="5"/>
      <c r="D4137" s="4"/>
      <c r="E4137" s="4"/>
      <c r="F4137" s="4"/>
    </row>
    <row r="4138" spans="1:6" x14ac:dyDescent="0.4">
      <c r="A4138" s="4"/>
      <c r="B4138" s="4"/>
      <c r="C4138" s="5"/>
      <c r="D4138" s="4"/>
      <c r="E4138" s="4"/>
      <c r="F4138" s="4"/>
    </row>
    <row r="4139" spans="1:6" x14ac:dyDescent="0.4">
      <c r="A4139" s="4"/>
      <c r="B4139" s="4"/>
      <c r="C4139" s="5"/>
      <c r="D4139" s="4"/>
      <c r="E4139" s="4"/>
      <c r="F4139" s="4"/>
    </row>
    <row r="4140" spans="1:6" x14ac:dyDescent="0.4">
      <c r="A4140" s="4"/>
      <c r="B4140" s="4"/>
      <c r="C4140" s="5"/>
      <c r="D4140" s="4"/>
      <c r="E4140" s="4"/>
      <c r="F4140" s="4"/>
    </row>
    <row r="4141" spans="1:6" x14ac:dyDescent="0.4">
      <c r="A4141" s="4"/>
      <c r="B4141" s="4"/>
      <c r="C4141" s="5"/>
      <c r="D4141" s="4"/>
      <c r="E4141" s="4"/>
      <c r="F4141" s="4"/>
    </row>
    <row r="4142" spans="1:6" x14ac:dyDescent="0.4">
      <c r="A4142" s="4"/>
      <c r="B4142" s="4"/>
      <c r="C4142" s="5"/>
      <c r="D4142" s="4"/>
      <c r="E4142" s="4"/>
      <c r="F4142" s="4"/>
    </row>
    <row r="4143" spans="1:6" x14ac:dyDescent="0.4">
      <c r="A4143" s="4"/>
      <c r="B4143" s="4"/>
      <c r="C4143" s="5"/>
      <c r="D4143" s="4"/>
      <c r="E4143" s="4"/>
      <c r="F4143" s="4"/>
    </row>
    <row r="4144" spans="1:6" x14ac:dyDescent="0.4">
      <c r="A4144" s="4"/>
      <c r="B4144" s="4"/>
      <c r="C4144" s="5"/>
      <c r="D4144" s="4"/>
      <c r="E4144" s="4"/>
      <c r="F4144" s="4"/>
    </row>
    <row r="4145" spans="1:6" x14ac:dyDescent="0.4">
      <c r="A4145" s="4"/>
      <c r="B4145" s="4"/>
      <c r="C4145" s="5"/>
      <c r="D4145" s="4"/>
      <c r="E4145" s="4"/>
      <c r="F4145" s="4"/>
    </row>
    <row r="4146" spans="1:6" x14ac:dyDescent="0.4">
      <c r="A4146" s="4"/>
      <c r="B4146" s="4"/>
      <c r="C4146" s="5"/>
      <c r="D4146" s="4"/>
      <c r="E4146" s="4"/>
      <c r="F4146" s="4"/>
    </row>
    <row r="4147" spans="1:6" x14ac:dyDescent="0.4">
      <c r="A4147" s="4"/>
      <c r="B4147" s="4"/>
      <c r="C4147" s="5"/>
      <c r="D4147" s="4"/>
      <c r="E4147" s="4"/>
      <c r="F4147" s="4"/>
    </row>
    <row r="4148" spans="1:6" x14ac:dyDescent="0.4">
      <c r="A4148" s="4"/>
      <c r="B4148" s="4"/>
      <c r="C4148" s="5"/>
      <c r="D4148" s="4"/>
      <c r="E4148" s="4"/>
      <c r="F4148" s="4"/>
    </row>
    <row r="4149" spans="1:6" x14ac:dyDescent="0.4">
      <c r="A4149" s="4"/>
      <c r="B4149" s="4"/>
      <c r="C4149" s="5"/>
      <c r="D4149" s="4"/>
      <c r="E4149" s="4"/>
      <c r="F4149" s="4"/>
    </row>
    <row r="4150" spans="1:6" x14ac:dyDescent="0.4">
      <c r="A4150" s="4"/>
      <c r="B4150" s="4"/>
      <c r="C4150" s="5"/>
      <c r="D4150" s="4"/>
      <c r="E4150" s="4"/>
      <c r="F4150" s="4"/>
    </row>
    <row r="4151" spans="1:6" x14ac:dyDescent="0.4">
      <c r="A4151" s="4"/>
      <c r="B4151" s="4"/>
      <c r="C4151" s="5"/>
      <c r="D4151" s="4"/>
      <c r="E4151" s="4"/>
      <c r="F4151" s="4"/>
    </row>
    <row r="4152" spans="1:6" x14ac:dyDescent="0.4">
      <c r="A4152" s="4"/>
      <c r="B4152" s="4"/>
      <c r="C4152" s="5"/>
      <c r="D4152" s="4"/>
      <c r="E4152" s="4"/>
      <c r="F4152" s="4"/>
    </row>
    <row r="4153" spans="1:6" x14ac:dyDescent="0.4">
      <c r="A4153" s="4"/>
      <c r="B4153" s="4"/>
      <c r="C4153" s="5"/>
      <c r="D4153" s="4"/>
      <c r="E4153" s="4"/>
      <c r="F4153" s="4"/>
    </row>
    <row r="4154" spans="1:6" x14ac:dyDescent="0.4">
      <c r="A4154" s="4"/>
      <c r="B4154" s="4"/>
      <c r="C4154" s="5"/>
      <c r="D4154" s="4"/>
      <c r="E4154" s="4"/>
      <c r="F4154" s="4"/>
    </row>
    <row r="4155" spans="1:6" x14ac:dyDescent="0.4">
      <c r="A4155" s="4"/>
      <c r="B4155" s="4"/>
      <c r="C4155" s="5"/>
      <c r="D4155" s="4"/>
      <c r="E4155" s="4"/>
      <c r="F4155" s="4"/>
    </row>
    <row r="4156" spans="1:6" x14ac:dyDescent="0.4">
      <c r="A4156" s="4"/>
      <c r="B4156" s="4"/>
      <c r="C4156" s="5"/>
      <c r="D4156" s="4"/>
      <c r="E4156" s="4"/>
      <c r="F4156" s="4"/>
    </row>
    <row r="4157" spans="1:6" x14ac:dyDescent="0.4">
      <c r="A4157" s="4"/>
      <c r="B4157" s="4"/>
      <c r="C4157" s="5"/>
      <c r="D4157" s="4"/>
      <c r="E4157" s="4"/>
      <c r="F4157" s="4"/>
    </row>
    <row r="4158" spans="1:6" x14ac:dyDescent="0.4">
      <c r="A4158" s="4"/>
      <c r="B4158" s="4"/>
      <c r="C4158" s="5"/>
      <c r="D4158" s="4"/>
      <c r="E4158" s="4"/>
      <c r="F4158" s="4"/>
    </row>
    <row r="4159" spans="1:6" x14ac:dyDescent="0.4">
      <c r="A4159" s="4"/>
      <c r="B4159" s="4"/>
      <c r="C4159" s="5"/>
      <c r="D4159" s="4"/>
      <c r="E4159" s="4"/>
      <c r="F4159" s="4"/>
    </row>
    <row r="4160" spans="1:6" x14ac:dyDescent="0.4">
      <c r="A4160" s="4"/>
      <c r="B4160" s="4"/>
      <c r="C4160" s="5"/>
      <c r="D4160" s="4"/>
      <c r="E4160" s="4"/>
      <c r="F4160" s="4"/>
    </row>
    <row r="4161" spans="1:6" x14ac:dyDescent="0.4">
      <c r="A4161" s="4"/>
      <c r="B4161" s="4"/>
      <c r="C4161" s="5"/>
      <c r="D4161" s="4"/>
      <c r="E4161" s="4"/>
      <c r="F4161" s="4"/>
    </row>
    <row r="4162" spans="1:6" x14ac:dyDescent="0.4">
      <c r="A4162" s="4"/>
      <c r="B4162" s="4"/>
      <c r="C4162" s="5"/>
      <c r="D4162" s="4"/>
      <c r="E4162" s="4"/>
      <c r="F4162" s="4"/>
    </row>
    <row r="4163" spans="1:6" x14ac:dyDescent="0.4">
      <c r="A4163" s="4"/>
      <c r="B4163" s="4"/>
      <c r="C4163" s="5"/>
      <c r="D4163" s="4"/>
      <c r="E4163" s="4"/>
      <c r="F4163" s="4"/>
    </row>
    <row r="4164" spans="1:6" x14ac:dyDescent="0.4">
      <c r="A4164" s="4"/>
      <c r="B4164" s="4"/>
      <c r="C4164" s="5"/>
      <c r="D4164" s="4"/>
      <c r="E4164" s="4"/>
      <c r="F4164" s="4"/>
    </row>
    <row r="4165" spans="1:6" x14ac:dyDescent="0.4">
      <c r="A4165" s="4"/>
      <c r="B4165" s="4"/>
      <c r="C4165" s="5"/>
      <c r="D4165" s="4"/>
      <c r="E4165" s="4"/>
      <c r="F4165" s="4"/>
    </row>
    <row r="4166" spans="1:6" x14ac:dyDescent="0.4">
      <c r="A4166" s="4"/>
      <c r="B4166" s="4"/>
      <c r="C4166" s="5"/>
      <c r="D4166" s="4"/>
      <c r="E4166" s="4"/>
      <c r="F4166" s="4"/>
    </row>
    <row r="4167" spans="1:6" x14ac:dyDescent="0.4">
      <c r="A4167" s="4"/>
      <c r="B4167" s="4"/>
      <c r="C4167" s="5"/>
      <c r="D4167" s="4"/>
      <c r="E4167" s="4"/>
      <c r="F4167" s="4"/>
    </row>
    <row r="4168" spans="1:6" x14ac:dyDescent="0.4">
      <c r="A4168" s="4"/>
      <c r="B4168" s="4"/>
      <c r="C4168" s="5"/>
      <c r="D4168" s="4"/>
      <c r="E4168" s="4"/>
      <c r="F4168" s="4"/>
    </row>
    <row r="4169" spans="1:6" x14ac:dyDescent="0.4">
      <c r="A4169" s="4"/>
      <c r="B4169" s="4"/>
      <c r="C4169" s="5"/>
      <c r="D4169" s="4"/>
      <c r="E4169" s="4"/>
      <c r="F4169" s="4"/>
    </row>
    <row r="4170" spans="1:6" x14ac:dyDescent="0.4">
      <c r="A4170" s="4"/>
      <c r="B4170" s="4"/>
      <c r="C4170" s="5"/>
      <c r="D4170" s="4"/>
      <c r="E4170" s="4"/>
      <c r="F4170" s="4"/>
    </row>
    <row r="4171" spans="1:6" x14ac:dyDescent="0.4">
      <c r="A4171" s="4"/>
      <c r="B4171" s="4"/>
      <c r="C4171" s="5"/>
      <c r="D4171" s="4"/>
      <c r="E4171" s="4"/>
      <c r="F4171" s="4"/>
    </row>
    <row r="4172" spans="1:6" x14ac:dyDescent="0.4">
      <c r="A4172" s="4"/>
      <c r="B4172" s="4"/>
      <c r="C4172" s="5"/>
      <c r="D4172" s="4"/>
      <c r="E4172" s="4"/>
      <c r="F4172" s="4"/>
    </row>
    <row r="4173" spans="1:6" x14ac:dyDescent="0.4">
      <c r="A4173" s="4"/>
      <c r="B4173" s="4"/>
      <c r="C4173" s="5"/>
      <c r="D4173" s="4"/>
      <c r="E4173" s="4"/>
      <c r="F4173" s="4"/>
    </row>
    <row r="4174" spans="1:6" x14ac:dyDescent="0.4">
      <c r="A4174" s="4"/>
      <c r="B4174" s="4"/>
      <c r="C4174" s="5"/>
      <c r="D4174" s="4"/>
      <c r="E4174" s="4"/>
      <c r="F4174" s="4"/>
    </row>
    <row r="4175" spans="1:6" x14ac:dyDescent="0.4">
      <c r="A4175" s="4"/>
      <c r="B4175" s="4"/>
      <c r="C4175" s="5"/>
      <c r="D4175" s="4"/>
      <c r="E4175" s="4"/>
      <c r="F4175" s="4"/>
    </row>
    <row r="4176" spans="1:6" x14ac:dyDescent="0.4">
      <c r="A4176" s="4"/>
      <c r="B4176" s="4"/>
      <c r="C4176" s="5"/>
      <c r="D4176" s="4"/>
      <c r="E4176" s="4"/>
      <c r="F4176" s="4"/>
    </row>
    <row r="4177" spans="1:6" x14ac:dyDescent="0.4">
      <c r="A4177" s="4"/>
      <c r="B4177" s="4"/>
      <c r="C4177" s="5"/>
      <c r="D4177" s="4"/>
      <c r="E4177" s="4"/>
      <c r="F4177" s="4"/>
    </row>
    <row r="4178" spans="1:6" x14ac:dyDescent="0.4">
      <c r="A4178" s="4"/>
      <c r="B4178" s="4"/>
      <c r="C4178" s="5"/>
      <c r="D4178" s="4"/>
      <c r="E4178" s="4"/>
      <c r="F4178" s="4"/>
    </row>
    <row r="4179" spans="1:6" x14ac:dyDescent="0.4">
      <c r="A4179" s="4"/>
      <c r="B4179" s="4"/>
      <c r="C4179" s="5"/>
      <c r="D4179" s="4"/>
      <c r="E4179" s="4"/>
      <c r="F4179" s="4"/>
    </row>
    <row r="4180" spans="1:6" x14ac:dyDescent="0.4">
      <c r="A4180" s="4"/>
      <c r="B4180" s="4"/>
      <c r="C4180" s="5"/>
      <c r="D4180" s="4"/>
      <c r="E4180" s="4"/>
      <c r="F4180" s="4"/>
    </row>
    <row r="4181" spans="1:6" x14ac:dyDescent="0.4">
      <c r="A4181" s="4"/>
      <c r="B4181" s="4"/>
      <c r="C4181" s="5"/>
      <c r="D4181" s="4"/>
      <c r="E4181" s="4"/>
      <c r="F4181" s="4"/>
    </row>
    <row r="4182" spans="1:6" x14ac:dyDescent="0.4">
      <c r="A4182" s="4"/>
      <c r="B4182" s="4"/>
      <c r="C4182" s="5"/>
      <c r="D4182" s="4"/>
      <c r="E4182" s="4"/>
      <c r="F4182" s="4"/>
    </row>
    <row r="4183" spans="1:6" x14ac:dyDescent="0.4">
      <c r="A4183" s="4"/>
      <c r="B4183" s="4"/>
      <c r="C4183" s="5"/>
      <c r="D4183" s="4"/>
      <c r="E4183" s="4"/>
      <c r="F4183" s="4"/>
    </row>
    <row r="4184" spans="1:6" x14ac:dyDescent="0.4">
      <c r="A4184" s="4"/>
      <c r="B4184" s="4"/>
      <c r="C4184" s="5"/>
      <c r="D4184" s="4"/>
      <c r="E4184" s="4"/>
      <c r="F4184" s="4"/>
    </row>
    <row r="4185" spans="1:6" x14ac:dyDescent="0.4">
      <c r="A4185" s="4"/>
      <c r="B4185" s="4"/>
      <c r="C4185" s="5"/>
      <c r="D4185" s="4"/>
      <c r="E4185" s="4"/>
      <c r="F4185" s="4"/>
    </row>
    <row r="4186" spans="1:6" x14ac:dyDescent="0.4">
      <c r="A4186" s="4"/>
      <c r="B4186" s="4"/>
      <c r="C4186" s="5"/>
      <c r="D4186" s="4"/>
      <c r="E4186" s="4"/>
      <c r="F4186" s="4"/>
    </row>
    <row r="4187" spans="1:6" x14ac:dyDescent="0.4">
      <c r="A4187" s="4"/>
      <c r="B4187" s="4"/>
      <c r="C4187" s="5"/>
      <c r="D4187" s="4"/>
      <c r="E4187" s="4"/>
      <c r="F4187" s="4"/>
    </row>
    <row r="4188" spans="1:6" x14ac:dyDescent="0.4">
      <c r="A4188" s="4"/>
      <c r="B4188" s="4"/>
      <c r="C4188" s="5"/>
      <c r="D4188" s="4"/>
      <c r="E4188" s="4"/>
      <c r="F4188" s="4"/>
    </row>
    <row r="4189" spans="1:6" x14ac:dyDescent="0.4">
      <c r="A4189" s="4"/>
      <c r="B4189" s="4"/>
      <c r="C4189" s="5"/>
      <c r="D4189" s="4"/>
      <c r="E4189" s="4"/>
      <c r="F4189" s="4"/>
    </row>
    <row r="4190" spans="1:6" x14ac:dyDescent="0.4">
      <c r="A4190" s="4"/>
      <c r="B4190" s="4"/>
      <c r="C4190" s="5"/>
      <c r="D4190" s="4"/>
      <c r="E4190" s="4"/>
      <c r="F4190" s="4"/>
    </row>
    <row r="4191" spans="1:6" x14ac:dyDescent="0.4">
      <c r="A4191" s="4"/>
      <c r="B4191" s="4"/>
      <c r="C4191" s="5"/>
      <c r="D4191" s="4"/>
      <c r="E4191" s="4"/>
      <c r="F4191" s="4"/>
    </row>
    <row r="4192" spans="1:6" x14ac:dyDescent="0.4">
      <c r="A4192" s="4"/>
      <c r="B4192" s="4"/>
      <c r="C4192" s="5"/>
      <c r="D4192" s="4"/>
      <c r="E4192" s="4"/>
      <c r="F4192" s="4"/>
    </row>
    <row r="4193" spans="1:6" x14ac:dyDescent="0.4">
      <c r="A4193" s="4"/>
      <c r="B4193" s="4"/>
      <c r="C4193" s="5"/>
      <c r="D4193" s="4"/>
      <c r="E4193" s="4"/>
      <c r="F4193" s="4"/>
    </row>
    <row r="4194" spans="1:6" x14ac:dyDescent="0.4">
      <c r="A4194" s="4"/>
      <c r="B4194" s="4"/>
      <c r="C4194" s="5"/>
      <c r="D4194" s="4"/>
      <c r="E4194" s="4"/>
      <c r="F4194" s="4"/>
    </row>
    <row r="4195" spans="1:6" x14ac:dyDescent="0.4">
      <c r="A4195" s="4"/>
      <c r="B4195" s="4"/>
      <c r="C4195" s="5"/>
      <c r="D4195" s="4"/>
      <c r="E4195" s="4"/>
      <c r="F4195" s="4"/>
    </row>
    <row r="4196" spans="1:6" x14ac:dyDescent="0.4">
      <c r="A4196" s="4"/>
      <c r="B4196" s="4"/>
      <c r="C4196" s="5"/>
      <c r="D4196" s="4"/>
      <c r="E4196" s="4"/>
      <c r="F4196" s="4"/>
    </row>
    <row r="4197" spans="1:6" x14ac:dyDescent="0.4">
      <c r="A4197" s="4"/>
      <c r="B4197" s="4"/>
      <c r="C4197" s="5"/>
      <c r="D4197" s="4"/>
      <c r="E4197" s="4"/>
      <c r="F4197" s="4"/>
    </row>
    <row r="4198" spans="1:6" x14ac:dyDescent="0.4">
      <c r="A4198" s="4"/>
      <c r="B4198" s="4"/>
      <c r="C4198" s="5"/>
      <c r="D4198" s="4"/>
      <c r="E4198" s="4"/>
      <c r="F4198" s="4"/>
    </row>
    <row r="4199" spans="1:6" x14ac:dyDescent="0.4">
      <c r="A4199" s="4"/>
      <c r="B4199" s="4"/>
      <c r="C4199" s="5"/>
      <c r="D4199" s="4"/>
      <c r="E4199" s="4"/>
      <c r="F4199" s="4"/>
    </row>
    <row r="4200" spans="1:6" x14ac:dyDescent="0.4">
      <c r="A4200" s="4"/>
      <c r="B4200" s="4"/>
      <c r="C4200" s="5"/>
      <c r="D4200" s="4"/>
      <c r="E4200" s="4"/>
      <c r="F4200" s="4"/>
    </row>
    <row r="4201" spans="1:6" x14ac:dyDescent="0.4">
      <c r="A4201" s="4"/>
      <c r="B4201" s="4"/>
      <c r="C4201" s="5"/>
      <c r="D4201" s="4"/>
      <c r="E4201" s="4"/>
      <c r="F4201" s="4"/>
    </row>
    <row r="4202" spans="1:6" x14ac:dyDescent="0.4">
      <c r="A4202" s="4"/>
      <c r="B4202" s="4"/>
      <c r="C4202" s="5"/>
      <c r="D4202" s="4"/>
      <c r="E4202" s="4"/>
      <c r="F4202" s="4"/>
    </row>
    <row r="4203" spans="1:6" x14ac:dyDescent="0.4">
      <c r="A4203" s="4"/>
      <c r="B4203" s="4"/>
      <c r="C4203" s="5"/>
      <c r="D4203" s="4"/>
      <c r="E4203" s="4"/>
      <c r="F4203" s="4"/>
    </row>
    <row r="4204" spans="1:6" x14ac:dyDescent="0.4">
      <c r="A4204" s="4"/>
      <c r="B4204" s="4"/>
      <c r="C4204" s="5"/>
      <c r="D4204" s="4"/>
      <c r="E4204" s="4"/>
      <c r="F4204" s="4"/>
    </row>
    <row r="4205" spans="1:6" x14ac:dyDescent="0.4">
      <c r="A4205" s="4"/>
      <c r="B4205" s="4"/>
      <c r="C4205" s="5"/>
      <c r="D4205" s="4"/>
      <c r="E4205" s="4"/>
      <c r="F4205" s="4"/>
    </row>
    <row r="4206" spans="1:6" x14ac:dyDescent="0.4">
      <c r="A4206" s="4"/>
      <c r="B4206" s="4"/>
      <c r="C4206" s="5"/>
      <c r="D4206" s="4"/>
      <c r="E4206" s="4"/>
      <c r="F4206" s="4"/>
    </row>
    <row r="4207" spans="1:6" x14ac:dyDescent="0.4">
      <c r="A4207" s="4"/>
      <c r="B4207" s="4"/>
      <c r="C4207" s="5"/>
      <c r="D4207" s="4"/>
      <c r="E4207" s="4"/>
      <c r="F4207" s="4"/>
    </row>
    <row r="4208" spans="1:6" x14ac:dyDescent="0.4">
      <c r="A4208" s="4"/>
      <c r="B4208" s="4"/>
      <c r="C4208" s="5"/>
      <c r="D4208" s="4"/>
      <c r="E4208" s="4"/>
      <c r="F4208" s="4"/>
    </row>
    <row r="4209" spans="1:6" x14ac:dyDescent="0.4">
      <c r="A4209" s="4"/>
      <c r="B4209" s="4"/>
      <c r="C4209" s="5"/>
      <c r="D4209" s="4"/>
      <c r="E4209" s="4"/>
      <c r="F4209" s="4"/>
    </row>
    <row r="4210" spans="1:6" x14ac:dyDescent="0.4">
      <c r="A4210" s="4"/>
      <c r="B4210" s="4"/>
      <c r="C4210" s="5"/>
      <c r="D4210" s="4"/>
      <c r="E4210" s="4"/>
      <c r="F4210" s="4"/>
    </row>
    <row r="4211" spans="1:6" x14ac:dyDescent="0.4">
      <c r="A4211" s="4"/>
      <c r="B4211" s="4"/>
      <c r="C4211" s="5"/>
      <c r="D4211" s="4"/>
      <c r="E4211" s="4"/>
      <c r="F4211" s="4"/>
    </row>
    <row r="4212" spans="1:6" x14ac:dyDescent="0.4">
      <c r="A4212" s="4"/>
      <c r="B4212" s="4"/>
      <c r="C4212" s="5"/>
      <c r="D4212" s="4"/>
      <c r="E4212" s="4"/>
      <c r="F4212" s="4"/>
    </row>
    <row r="4213" spans="1:6" x14ac:dyDescent="0.4">
      <c r="A4213" s="4"/>
      <c r="B4213" s="4"/>
      <c r="C4213" s="5"/>
      <c r="D4213" s="4"/>
      <c r="E4213" s="4"/>
      <c r="F4213" s="4"/>
    </row>
    <row r="4214" spans="1:6" x14ac:dyDescent="0.4">
      <c r="A4214" s="4"/>
      <c r="B4214" s="4"/>
      <c r="C4214" s="5"/>
      <c r="D4214" s="4"/>
      <c r="E4214" s="4"/>
      <c r="F4214" s="4"/>
    </row>
    <row r="4215" spans="1:6" x14ac:dyDescent="0.4">
      <c r="A4215" s="4"/>
      <c r="B4215" s="4"/>
      <c r="C4215" s="5"/>
      <c r="D4215" s="4"/>
      <c r="E4215" s="4"/>
      <c r="F4215" s="4"/>
    </row>
    <row r="4216" spans="1:6" x14ac:dyDescent="0.4">
      <c r="A4216" s="4"/>
      <c r="B4216" s="4"/>
      <c r="C4216" s="5"/>
      <c r="D4216" s="4"/>
      <c r="E4216" s="4"/>
      <c r="F4216" s="4"/>
    </row>
    <row r="4217" spans="1:6" x14ac:dyDescent="0.4">
      <c r="A4217" s="4"/>
      <c r="B4217" s="4"/>
      <c r="C4217" s="5"/>
      <c r="D4217" s="4"/>
      <c r="E4217" s="4"/>
      <c r="F4217" s="4"/>
    </row>
    <row r="4218" spans="1:6" x14ac:dyDescent="0.4">
      <c r="A4218" s="4"/>
      <c r="B4218" s="4"/>
      <c r="C4218" s="5"/>
      <c r="D4218" s="4"/>
      <c r="E4218" s="4"/>
      <c r="F4218" s="4"/>
    </row>
    <row r="4219" spans="1:6" x14ac:dyDescent="0.4">
      <c r="A4219" s="4"/>
      <c r="B4219" s="4"/>
      <c r="C4219" s="5"/>
      <c r="D4219" s="4"/>
      <c r="E4219" s="4"/>
      <c r="F4219" s="4"/>
    </row>
    <row r="4220" spans="1:6" x14ac:dyDescent="0.4">
      <c r="A4220" s="4"/>
      <c r="B4220" s="4"/>
      <c r="C4220" s="5"/>
      <c r="D4220" s="4"/>
      <c r="E4220" s="4"/>
      <c r="F4220" s="4"/>
    </row>
    <row r="4221" spans="1:6" x14ac:dyDescent="0.4">
      <c r="A4221" s="4"/>
      <c r="B4221" s="4"/>
      <c r="C4221" s="5"/>
      <c r="D4221" s="4"/>
      <c r="E4221" s="4"/>
      <c r="F4221" s="4"/>
    </row>
    <row r="4222" spans="1:6" x14ac:dyDescent="0.4">
      <c r="A4222" s="4"/>
      <c r="B4222" s="4"/>
      <c r="C4222" s="5"/>
      <c r="D4222" s="4"/>
      <c r="E4222" s="4"/>
      <c r="F4222" s="4"/>
    </row>
    <row r="4223" spans="1:6" x14ac:dyDescent="0.4">
      <c r="A4223" s="4"/>
      <c r="B4223" s="4"/>
      <c r="C4223" s="5"/>
      <c r="D4223" s="4"/>
      <c r="E4223" s="4"/>
      <c r="F4223" s="4"/>
    </row>
    <row r="4224" spans="1:6" x14ac:dyDescent="0.4">
      <c r="A4224" s="4"/>
      <c r="B4224" s="4"/>
      <c r="C4224" s="5"/>
      <c r="D4224" s="4"/>
      <c r="E4224" s="4"/>
      <c r="F4224" s="4"/>
    </row>
    <row r="4225" spans="1:6" x14ac:dyDescent="0.4">
      <c r="A4225" s="4"/>
      <c r="B4225" s="4"/>
      <c r="C4225" s="5"/>
      <c r="D4225" s="4"/>
      <c r="E4225" s="4"/>
      <c r="F4225" s="4"/>
    </row>
    <row r="4226" spans="1:6" x14ac:dyDescent="0.4">
      <c r="A4226" s="4"/>
      <c r="B4226" s="4"/>
      <c r="C4226" s="5"/>
      <c r="D4226" s="4"/>
      <c r="E4226" s="4"/>
      <c r="F4226" s="4"/>
    </row>
    <row r="4227" spans="1:6" x14ac:dyDescent="0.4">
      <c r="A4227" s="4"/>
      <c r="B4227" s="4"/>
      <c r="C4227" s="5"/>
      <c r="D4227" s="4"/>
      <c r="E4227" s="4"/>
      <c r="F4227" s="4"/>
    </row>
    <row r="4228" spans="1:6" x14ac:dyDescent="0.4">
      <c r="A4228" s="4"/>
      <c r="B4228" s="4"/>
      <c r="C4228" s="5"/>
      <c r="D4228" s="4"/>
      <c r="E4228" s="4"/>
      <c r="F4228" s="4"/>
    </row>
    <row r="4229" spans="1:6" x14ac:dyDescent="0.4">
      <c r="A4229" s="4"/>
      <c r="B4229" s="4"/>
      <c r="C4229" s="5"/>
      <c r="D4229" s="4"/>
      <c r="E4229" s="4"/>
      <c r="F4229" s="4"/>
    </row>
    <row r="4230" spans="1:6" x14ac:dyDescent="0.4">
      <c r="A4230" s="4"/>
      <c r="B4230" s="4"/>
      <c r="C4230" s="5"/>
      <c r="D4230" s="4"/>
      <c r="E4230" s="4"/>
      <c r="F4230" s="4"/>
    </row>
    <row r="4231" spans="1:6" x14ac:dyDescent="0.4">
      <c r="A4231" s="4"/>
      <c r="B4231" s="4"/>
      <c r="C4231" s="5"/>
      <c r="D4231" s="4"/>
      <c r="E4231" s="4"/>
      <c r="F4231" s="4"/>
    </row>
    <row r="4232" spans="1:6" x14ac:dyDescent="0.4">
      <c r="A4232" s="4"/>
      <c r="B4232" s="4"/>
      <c r="C4232" s="5"/>
      <c r="D4232" s="4"/>
      <c r="E4232" s="4"/>
      <c r="F4232" s="4"/>
    </row>
    <row r="4233" spans="1:6" x14ac:dyDescent="0.4">
      <c r="A4233" s="4"/>
      <c r="B4233" s="4"/>
      <c r="C4233" s="5"/>
      <c r="D4233" s="4"/>
      <c r="E4233" s="4"/>
      <c r="F4233" s="4"/>
    </row>
    <row r="4234" spans="1:6" x14ac:dyDescent="0.4">
      <c r="A4234" s="4"/>
      <c r="B4234" s="4"/>
      <c r="C4234" s="5"/>
      <c r="D4234" s="4"/>
      <c r="E4234" s="4"/>
      <c r="F4234" s="4"/>
    </row>
    <row r="4235" spans="1:6" x14ac:dyDescent="0.4">
      <c r="A4235" s="4"/>
      <c r="B4235" s="4"/>
      <c r="C4235" s="5"/>
      <c r="D4235" s="4"/>
      <c r="E4235" s="4"/>
      <c r="F4235" s="4"/>
    </row>
    <row r="4236" spans="1:6" x14ac:dyDescent="0.4">
      <c r="A4236" s="4"/>
      <c r="B4236" s="4"/>
      <c r="C4236" s="5"/>
      <c r="D4236" s="4"/>
      <c r="E4236" s="4"/>
      <c r="F4236" s="4"/>
    </row>
    <row r="4237" spans="1:6" x14ac:dyDescent="0.4">
      <c r="A4237" s="4"/>
      <c r="B4237" s="4"/>
      <c r="C4237" s="5"/>
      <c r="D4237" s="4"/>
      <c r="E4237" s="4"/>
      <c r="F4237" s="4"/>
    </row>
    <row r="4238" spans="1:6" x14ac:dyDescent="0.4">
      <c r="A4238" s="4"/>
      <c r="B4238" s="4"/>
      <c r="C4238" s="5"/>
      <c r="D4238" s="4"/>
      <c r="E4238" s="4"/>
      <c r="F4238" s="4"/>
    </row>
    <row r="4239" spans="1:6" x14ac:dyDescent="0.4">
      <c r="A4239" s="4"/>
      <c r="B4239" s="4"/>
      <c r="C4239" s="5"/>
      <c r="D4239" s="4"/>
      <c r="E4239" s="4"/>
      <c r="F4239" s="4"/>
    </row>
    <row r="4240" spans="1:6" x14ac:dyDescent="0.4">
      <c r="A4240" s="4"/>
      <c r="B4240" s="4"/>
      <c r="C4240" s="5"/>
      <c r="D4240" s="4"/>
      <c r="E4240" s="4"/>
      <c r="F4240" s="4"/>
    </row>
    <row r="4241" spans="1:6" x14ac:dyDescent="0.4">
      <c r="A4241" s="4"/>
      <c r="B4241" s="4"/>
      <c r="C4241" s="5"/>
      <c r="D4241" s="4"/>
      <c r="E4241" s="4"/>
      <c r="F4241" s="4"/>
    </row>
    <row r="4242" spans="1:6" x14ac:dyDescent="0.4">
      <c r="A4242" s="4"/>
      <c r="B4242" s="4"/>
      <c r="C4242" s="5"/>
      <c r="D4242" s="4"/>
      <c r="E4242" s="4"/>
      <c r="F4242" s="4"/>
    </row>
    <row r="4243" spans="1:6" x14ac:dyDescent="0.4">
      <c r="A4243" s="4"/>
      <c r="B4243" s="4"/>
      <c r="C4243" s="5"/>
      <c r="D4243" s="4"/>
      <c r="E4243" s="4"/>
      <c r="F4243" s="4"/>
    </row>
    <row r="4244" spans="1:6" x14ac:dyDescent="0.4">
      <c r="A4244" s="4"/>
      <c r="B4244" s="4"/>
      <c r="C4244" s="5"/>
      <c r="D4244" s="4"/>
      <c r="E4244" s="4"/>
      <c r="F4244" s="4"/>
    </row>
    <row r="4245" spans="1:6" x14ac:dyDescent="0.4">
      <c r="A4245" s="4"/>
      <c r="B4245" s="4"/>
      <c r="C4245" s="5"/>
      <c r="D4245" s="4"/>
      <c r="E4245" s="4"/>
      <c r="F4245" s="4"/>
    </row>
    <row r="4246" spans="1:6" x14ac:dyDescent="0.4">
      <c r="A4246" s="4"/>
      <c r="B4246" s="4"/>
      <c r="C4246" s="5"/>
      <c r="D4246" s="4"/>
      <c r="E4246" s="4"/>
      <c r="F4246" s="4"/>
    </row>
    <row r="4247" spans="1:6" x14ac:dyDescent="0.4">
      <c r="A4247" s="4"/>
      <c r="B4247" s="4"/>
      <c r="C4247" s="5"/>
      <c r="D4247" s="4"/>
      <c r="E4247" s="4"/>
      <c r="F4247" s="4"/>
    </row>
    <row r="4248" spans="1:6" x14ac:dyDescent="0.4">
      <c r="A4248" s="4"/>
      <c r="B4248" s="4"/>
      <c r="C4248" s="5"/>
      <c r="D4248" s="4"/>
      <c r="E4248" s="4"/>
      <c r="F4248" s="4"/>
    </row>
    <row r="4249" spans="1:6" x14ac:dyDescent="0.4">
      <c r="A4249" s="4"/>
      <c r="B4249" s="4"/>
      <c r="C4249" s="5"/>
      <c r="D4249" s="4"/>
      <c r="E4249" s="4"/>
      <c r="F4249" s="4"/>
    </row>
    <row r="4250" spans="1:6" x14ac:dyDescent="0.4">
      <c r="A4250" s="4"/>
      <c r="B4250" s="4"/>
      <c r="C4250" s="5"/>
      <c r="D4250" s="4"/>
      <c r="E4250" s="4"/>
      <c r="F4250" s="4"/>
    </row>
    <row r="4251" spans="1:6" x14ac:dyDescent="0.4">
      <c r="A4251" s="4"/>
      <c r="B4251" s="4"/>
      <c r="C4251" s="5"/>
      <c r="D4251" s="4"/>
      <c r="E4251" s="4"/>
      <c r="F4251" s="4"/>
    </row>
    <row r="4252" spans="1:6" x14ac:dyDescent="0.4">
      <c r="A4252" s="4"/>
      <c r="B4252" s="4"/>
      <c r="C4252" s="5"/>
      <c r="D4252" s="4"/>
      <c r="E4252" s="4"/>
      <c r="F4252" s="4"/>
    </row>
    <row r="4253" spans="1:6" x14ac:dyDescent="0.4">
      <c r="A4253" s="4"/>
      <c r="B4253" s="4"/>
      <c r="C4253" s="5"/>
      <c r="D4253" s="4"/>
      <c r="E4253" s="4"/>
      <c r="F4253" s="4"/>
    </row>
    <row r="4254" spans="1:6" x14ac:dyDescent="0.4">
      <c r="A4254" s="4"/>
      <c r="B4254" s="4"/>
      <c r="C4254" s="5"/>
      <c r="D4254" s="4"/>
      <c r="E4254" s="4"/>
      <c r="F4254" s="4"/>
    </row>
    <row r="4255" spans="1:6" x14ac:dyDescent="0.4">
      <c r="A4255" s="4"/>
      <c r="B4255" s="4"/>
      <c r="C4255" s="5"/>
      <c r="D4255" s="4"/>
      <c r="E4255" s="4"/>
      <c r="F4255" s="4"/>
    </row>
    <row r="4256" spans="1:6" x14ac:dyDescent="0.4">
      <c r="A4256" s="4"/>
      <c r="B4256" s="4"/>
      <c r="C4256" s="5"/>
      <c r="D4256" s="4"/>
      <c r="E4256" s="4"/>
      <c r="F4256" s="4"/>
    </row>
    <row r="4257" spans="1:6" x14ac:dyDescent="0.4">
      <c r="A4257" s="4"/>
      <c r="B4257" s="4"/>
      <c r="C4257" s="5"/>
      <c r="D4257" s="4"/>
      <c r="E4257" s="4"/>
      <c r="F4257" s="4"/>
    </row>
    <row r="4258" spans="1:6" x14ac:dyDescent="0.4">
      <c r="A4258" s="4"/>
      <c r="B4258" s="4"/>
      <c r="C4258" s="5"/>
      <c r="D4258" s="4"/>
      <c r="E4258" s="4"/>
      <c r="F4258" s="4"/>
    </row>
    <row r="4259" spans="1:6" x14ac:dyDescent="0.4">
      <c r="A4259" s="4"/>
      <c r="B4259" s="4"/>
      <c r="C4259" s="5"/>
      <c r="D4259" s="4"/>
      <c r="E4259" s="4"/>
      <c r="F4259" s="4"/>
    </row>
    <row r="4260" spans="1:6" x14ac:dyDescent="0.4">
      <c r="A4260" s="4"/>
      <c r="B4260" s="4"/>
      <c r="C4260" s="5"/>
      <c r="D4260" s="4"/>
      <c r="E4260" s="4"/>
      <c r="F4260" s="4"/>
    </row>
    <row r="4261" spans="1:6" x14ac:dyDescent="0.4">
      <c r="A4261" s="4"/>
      <c r="B4261" s="4"/>
      <c r="C4261" s="5"/>
      <c r="D4261" s="4"/>
      <c r="E4261" s="4"/>
      <c r="F4261" s="4"/>
    </row>
    <row r="4262" spans="1:6" x14ac:dyDescent="0.4">
      <c r="A4262" s="4"/>
      <c r="B4262" s="4"/>
      <c r="C4262" s="5"/>
      <c r="D4262" s="4"/>
      <c r="E4262" s="4"/>
      <c r="F4262" s="4"/>
    </row>
    <row r="4263" spans="1:6" x14ac:dyDescent="0.4">
      <c r="A4263" s="4"/>
      <c r="B4263" s="4"/>
      <c r="C4263" s="5"/>
      <c r="D4263" s="4"/>
      <c r="E4263" s="4"/>
      <c r="F4263" s="4"/>
    </row>
    <row r="4264" spans="1:6" x14ac:dyDescent="0.4">
      <c r="A4264" s="4"/>
      <c r="B4264" s="4"/>
      <c r="C4264" s="5"/>
      <c r="D4264" s="4"/>
      <c r="E4264" s="4"/>
      <c r="F4264" s="4"/>
    </row>
    <row r="4265" spans="1:6" x14ac:dyDescent="0.4">
      <c r="A4265" s="4"/>
      <c r="B4265" s="4"/>
      <c r="C4265" s="5"/>
      <c r="D4265" s="4"/>
      <c r="E4265" s="4"/>
      <c r="F4265" s="4"/>
    </row>
    <row r="4266" spans="1:6" x14ac:dyDescent="0.4">
      <c r="A4266" s="4"/>
      <c r="B4266" s="4"/>
      <c r="C4266" s="5"/>
      <c r="D4266" s="4"/>
      <c r="E4266" s="4"/>
      <c r="F4266" s="4"/>
    </row>
    <row r="4267" spans="1:6" x14ac:dyDescent="0.4">
      <c r="A4267" s="4"/>
      <c r="B4267" s="4"/>
      <c r="C4267" s="5"/>
      <c r="D4267" s="4"/>
      <c r="E4267" s="4"/>
      <c r="F4267" s="4"/>
    </row>
    <row r="4268" spans="1:6" x14ac:dyDescent="0.4">
      <c r="A4268" s="4"/>
      <c r="B4268" s="4"/>
      <c r="C4268" s="5"/>
      <c r="D4268" s="4"/>
      <c r="E4268" s="4"/>
      <c r="F4268" s="4"/>
    </row>
    <row r="4269" spans="1:6" x14ac:dyDescent="0.4">
      <c r="A4269" s="4"/>
      <c r="B4269" s="4"/>
      <c r="C4269" s="5"/>
      <c r="D4269" s="4"/>
      <c r="E4269" s="4"/>
      <c r="F4269" s="4"/>
    </row>
    <row r="4270" spans="1:6" x14ac:dyDescent="0.4">
      <c r="A4270" s="4"/>
      <c r="B4270" s="4"/>
      <c r="C4270" s="5"/>
      <c r="D4270" s="4"/>
      <c r="E4270" s="4"/>
      <c r="F4270" s="4"/>
    </row>
    <row r="4271" spans="1:6" x14ac:dyDescent="0.4">
      <c r="A4271" s="4"/>
      <c r="B4271" s="4"/>
      <c r="C4271" s="5"/>
      <c r="D4271" s="4"/>
      <c r="E4271" s="4"/>
      <c r="F4271" s="4"/>
    </row>
    <row r="4272" spans="1:6" x14ac:dyDescent="0.4">
      <c r="A4272" s="4"/>
      <c r="B4272" s="4"/>
      <c r="C4272" s="5"/>
      <c r="D4272" s="4"/>
      <c r="E4272" s="4"/>
      <c r="F4272" s="4"/>
    </row>
    <row r="4273" spans="1:6" x14ac:dyDescent="0.4">
      <c r="A4273" s="4"/>
      <c r="B4273" s="4"/>
      <c r="C4273" s="5"/>
      <c r="D4273" s="4"/>
      <c r="E4273" s="4"/>
      <c r="F4273" s="4"/>
    </row>
    <row r="4274" spans="1:6" x14ac:dyDescent="0.4">
      <c r="A4274" s="4"/>
      <c r="B4274" s="4"/>
      <c r="C4274" s="5"/>
      <c r="D4274" s="4"/>
      <c r="E4274" s="4"/>
      <c r="F4274" s="4"/>
    </row>
    <row r="4275" spans="1:6" x14ac:dyDescent="0.4">
      <c r="A4275" s="4"/>
      <c r="B4275" s="4"/>
      <c r="C4275" s="5"/>
      <c r="D4275" s="4"/>
      <c r="E4275" s="4"/>
      <c r="F4275" s="4"/>
    </row>
    <row r="4276" spans="1:6" x14ac:dyDescent="0.4">
      <c r="A4276" s="4"/>
      <c r="B4276" s="4"/>
      <c r="C4276" s="5"/>
      <c r="D4276" s="4"/>
      <c r="E4276" s="4"/>
      <c r="F4276" s="4"/>
    </row>
    <row r="4277" spans="1:6" x14ac:dyDescent="0.4">
      <c r="A4277" s="4"/>
      <c r="B4277" s="4"/>
      <c r="C4277" s="5"/>
      <c r="D4277" s="4"/>
      <c r="E4277" s="4"/>
      <c r="F4277" s="4"/>
    </row>
    <row r="4278" spans="1:6" x14ac:dyDescent="0.4">
      <c r="A4278" s="4"/>
      <c r="B4278" s="4"/>
      <c r="C4278" s="5"/>
      <c r="D4278" s="4"/>
      <c r="E4278" s="4"/>
      <c r="F4278" s="4"/>
    </row>
    <row r="4279" spans="1:6" x14ac:dyDescent="0.4">
      <c r="A4279" s="4"/>
      <c r="B4279" s="4"/>
      <c r="C4279" s="5"/>
      <c r="D4279" s="4"/>
      <c r="E4279" s="4"/>
      <c r="F4279" s="4"/>
    </row>
    <row r="4280" spans="1:6" x14ac:dyDescent="0.4">
      <c r="A4280" s="4"/>
      <c r="B4280" s="4"/>
      <c r="C4280" s="5"/>
      <c r="D4280" s="4"/>
      <c r="E4280" s="4"/>
      <c r="F4280" s="4"/>
    </row>
    <row r="4281" spans="1:6" x14ac:dyDescent="0.4">
      <c r="A4281" s="4"/>
      <c r="B4281" s="4"/>
      <c r="C4281" s="5"/>
      <c r="D4281" s="4"/>
      <c r="E4281" s="4"/>
      <c r="F4281" s="4"/>
    </row>
    <row r="4282" spans="1:6" x14ac:dyDescent="0.4">
      <c r="A4282" s="4"/>
      <c r="B4282" s="4"/>
      <c r="C4282" s="5"/>
      <c r="D4282" s="4"/>
      <c r="E4282" s="4"/>
      <c r="F4282" s="4"/>
    </row>
    <row r="4283" spans="1:6" x14ac:dyDescent="0.4">
      <c r="A4283" s="4"/>
      <c r="B4283" s="4"/>
      <c r="C4283" s="5"/>
      <c r="D4283" s="4"/>
      <c r="E4283" s="4"/>
      <c r="F4283" s="4"/>
    </row>
    <row r="4284" spans="1:6" x14ac:dyDescent="0.4">
      <c r="A4284" s="4"/>
      <c r="B4284" s="4"/>
      <c r="C4284" s="5"/>
      <c r="D4284" s="4"/>
      <c r="E4284" s="4"/>
      <c r="F4284" s="4"/>
    </row>
    <row r="4285" spans="1:6" x14ac:dyDescent="0.4">
      <c r="A4285" s="4"/>
      <c r="B4285" s="4"/>
      <c r="C4285" s="5"/>
      <c r="D4285" s="4"/>
      <c r="E4285" s="4"/>
      <c r="F4285" s="4"/>
    </row>
    <row r="4286" spans="1:6" x14ac:dyDescent="0.4">
      <c r="A4286" s="4"/>
      <c r="B4286" s="4"/>
      <c r="C4286" s="5"/>
      <c r="D4286" s="4"/>
      <c r="E4286" s="4"/>
      <c r="F4286" s="4"/>
    </row>
    <row r="4287" spans="1:6" x14ac:dyDescent="0.4">
      <c r="A4287" s="4"/>
      <c r="B4287" s="4"/>
      <c r="C4287" s="5"/>
      <c r="D4287" s="4"/>
      <c r="E4287" s="4"/>
      <c r="F4287" s="4"/>
    </row>
    <row r="4288" spans="1:6" x14ac:dyDescent="0.4">
      <c r="A4288" s="4"/>
      <c r="B4288" s="4"/>
      <c r="C4288" s="5"/>
      <c r="D4288" s="4"/>
      <c r="E4288" s="4"/>
      <c r="F4288" s="4"/>
    </row>
    <row r="4289" spans="1:6" x14ac:dyDescent="0.4">
      <c r="A4289" s="4"/>
      <c r="B4289" s="4"/>
      <c r="C4289" s="5"/>
      <c r="D4289" s="4"/>
      <c r="E4289" s="4"/>
      <c r="F4289" s="4"/>
    </row>
    <row r="4290" spans="1:6" x14ac:dyDescent="0.4">
      <c r="A4290" s="4"/>
      <c r="B4290" s="4"/>
      <c r="C4290" s="5"/>
      <c r="D4290" s="4"/>
      <c r="E4290" s="4"/>
      <c r="F4290" s="4"/>
    </row>
    <row r="4291" spans="1:6" x14ac:dyDescent="0.4">
      <c r="A4291" s="4"/>
      <c r="B4291" s="4"/>
      <c r="C4291" s="5"/>
      <c r="D4291" s="4"/>
      <c r="E4291" s="4"/>
      <c r="F4291" s="4"/>
    </row>
    <row r="4292" spans="1:6" x14ac:dyDescent="0.4">
      <c r="A4292" s="4"/>
      <c r="B4292" s="4"/>
      <c r="C4292" s="5"/>
      <c r="D4292" s="4"/>
      <c r="E4292" s="4"/>
      <c r="F4292" s="4"/>
    </row>
    <row r="4293" spans="1:6" x14ac:dyDescent="0.4">
      <c r="A4293" s="4"/>
      <c r="B4293" s="4"/>
      <c r="C4293" s="5"/>
      <c r="D4293" s="4"/>
      <c r="E4293" s="4"/>
      <c r="F4293" s="4"/>
    </row>
    <row r="4294" spans="1:6" x14ac:dyDescent="0.4">
      <c r="A4294" s="4"/>
      <c r="B4294" s="4"/>
      <c r="C4294" s="5"/>
      <c r="D4294" s="4"/>
      <c r="E4294" s="4"/>
      <c r="F4294" s="4"/>
    </row>
    <row r="4295" spans="1:6" x14ac:dyDescent="0.4">
      <c r="A4295" s="4"/>
      <c r="B4295" s="4"/>
      <c r="C4295" s="5"/>
      <c r="D4295" s="4"/>
      <c r="E4295" s="4"/>
      <c r="F4295" s="4"/>
    </row>
    <row r="4296" spans="1:6" x14ac:dyDescent="0.4">
      <c r="A4296" s="4"/>
      <c r="B4296" s="4"/>
      <c r="C4296" s="5"/>
      <c r="D4296" s="4"/>
      <c r="E4296" s="4"/>
      <c r="F4296" s="4"/>
    </row>
    <row r="4297" spans="1:6" x14ac:dyDescent="0.4">
      <c r="A4297" s="4"/>
      <c r="B4297" s="4"/>
      <c r="C4297" s="5"/>
      <c r="D4297" s="4"/>
      <c r="E4297" s="4"/>
      <c r="F4297" s="4"/>
    </row>
    <row r="4298" spans="1:6" x14ac:dyDescent="0.4">
      <c r="A4298" s="4"/>
      <c r="B4298" s="4"/>
      <c r="C4298" s="5"/>
      <c r="D4298" s="4"/>
      <c r="E4298" s="4"/>
      <c r="F4298" s="4"/>
    </row>
    <row r="4299" spans="1:6" x14ac:dyDescent="0.4">
      <c r="A4299" s="4"/>
      <c r="B4299" s="4"/>
      <c r="C4299" s="5"/>
      <c r="D4299" s="4"/>
      <c r="E4299" s="4"/>
      <c r="F4299" s="4"/>
    </row>
    <row r="4300" spans="1:6" x14ac:dyDescent="0.4">
      <c r="A4300" s="4"/>
      <c r="B4300" s="4"/>
      <c r="C4300" s="5"/>
      <c r="D4300" s="4"/>
      <c r="E4300" s="4"/>
      <c r="F4300" s="4"/>
    </row>
    <row r="4301" spans="1:6" x14ac:dyDescent="0.4">
      <c r="A4301" s="4"/>
      <c r="B4301" s="4"/>
      <c r="C4301" s="5"/>
      <c r="D4301" s="4"/>
      <c r="E4301" s="4"/>
      <c r="F4301" s="4"/>
    </row>
    <row r="4302" spans="1:6" x14ac:dyDescent="0.4">
      <c r="A4302" s="4"/>
      <c r="B4302" s="4"/>
      <c r="C4302" s="5"/>
      <c r="D4302" s="4"/>
      <c r="E4302" s="4"/>
      <c r="F4302" s="4"/>
    </row>
    <row r="4303" spans="1:6" x14ac:dyDescent="0.4">
      <c r="A4303" s="4"/>
      <c r="B4303" s="4"/>
      <c r="C4303" s="5"/>
      <c r="D4303" s="4"/>
      <c r="E4303" s="4"/>
      <c r="F4303" s="4"/>
    </row>
    <row r="4304" spans="1:6" x14ac:dyDescent="0.4">
      <c r="A4304" s="4"/>
      <c r="B4304" s="4"/>
      <c r="C4304" s="5"/>
      <c r="D4304" s="4"/>
      <c r="E4304" s="4"/>
      <c r="F4304" s="4"/>
    </row>
    <row r="4305" spans="1:6" x14ac:dyDescent="0.4">
      <c r="A4305" s="4"/>
      <c r="B4305" s="4"/>
      <c r="C4305" s="5"/>
      <c r="D4305" s="4"/>
      <c r="E4305" s="4"/>
      <c r="F4305" s="4"/>
    </row>
    <row r="4306" spans="1:6" x14ac:dyDescent="0.4">
      <c r="A4306" s="4"/>
      <c r="B4306" s="4"/>
      <c r="C4306" s="5"/>
      <c r="D4306" s="4"/>
      <c r="E4306" s="4"/>
      <c r="F4306" s="4"/>
    </row>
    <row r="4307" spans="1:6" x14ac:dyDescent="0.4">
      <c r="A4307" s="4"/>
      <c r="B4307" s="4"/>
      <c r="C4307" s="5"/>
      <c r="D4307" s="4"/>
      <c r="E4307" s="4"/>
      <c r="F4307" s="4"/>
    </row>
    <row r="4308" spans="1:6" x14ac:dyDescent="0.4">
      <c r="A4308" s="4"/>
      <c r="B4308" s="4"/>
      <c r="C4308" s="5"/>
      <c r="D4308" s="4"/>
      <c r="E4308" s="4"/>
      <c r="F4308" s="4"/>
    </row>
    <row r="4309" spans="1:6" x14ac:dyDescent="0.4">
      <c r="A4309" s="4"/>
      <c r="B4309" s="4"/>
      <c r="C4309" s="5"/>
      <c r="D4309" s="4"/>
      <c r="E4309" s="4"/>
      <c r="F4309" s="4"/>
    </row>
    <row r="4310" spans="1:6" x14ac:dyDescent="0.4">
      <c r="A4310" s="4"/>
      <c r="B4310" s="4"/>
      <c r="C4310" s="5"/>
      <c r="D4310" s="4"/>
      <c r="E4310" s="4"/>
      <c r="F4310" s="4"/>
    </row>
    <row r="4311" spans="1:6" x14ac:dyDescent="0.4">
      <c r="A4311" s="4"/>
      <c r="B4311" s="4"/>
      <c r="C4311" s="5"/>
      <c r="D4311" s="4"/>
      <c r="E4311" s="4"/>
      <c r="F4311" s="4"/>
    </row>
    <row r="4312" spans="1:6" x14ac:dyDescent="0.4">
      <c r="A4312" s="4"/>
      <c r="B4312" s="4"/>
      <c r="C4312" s="5"/>
      <c r="D4312" s="4"/>
      <c r="E4312" s="4"/>
      <c r="F4312" s="4"/>
    </row>
    <row r="4313" spans="1:6" x14ac:dyDescent="0.4">
      <c r="A4313" s="4"/>
      <c r="B4313" s="4"/>
      <c r="C4313" s="5"/>
      <c r="D4313" s="4"/>
      <c r="E4313" s="4"/>
      <c r="F4313" s="4"/>
    </row>
    <row r="4314" spans="1:6" x14ac:dyDescent="0.4">
      <c r="A4314" s="4"/>
      <c r="B4314" s="4"/>
      <c r="C4314" s="5"/>
      <c r="D4314" s="4"/>
      <c r="E4314" s="4"/>
      <c r="F4314" s="4"/>
    </row>
    <row r="4315" spans="1:6" x14ac:dyDescent="0.4">
      <c r="A4315" s="4"/>
      <c r="B4315" s="4"/>
      <c r="C4315" s="5"/>
      <c r="D4315" s="4"/>
      <c r="E4315" s="4"/>
      <c r="F4315" s="4"/>
    </row>
    <row r="4316" spans="1:6" x14ac:dyDescent="0.4">
      <c r="A4316" s="4"/>
      <c r="B4316" s="4"/>
      <c r="C4316" s="5"/>
      <c r="D4316" s="4"/>
      <c r="E4316" s="4"/>
      <c r="F4316" s="4"/>
    </row>
    <row r="4317" spans="1:6" x14ac:dyDescent="0.4">
      <c r="A4317" s="4"/>
      <c r="B4317" s="4"/>
      <c r="C4317" s="5"/>
      <c r="D4317" s="4"/>
      <c r="E4317" s="4"/>
      <c r="F4317" s="4"/>
    </row>
    <row r="4318" spans="1:6" x14ac:dyDescent="0.4">
      <c r="A4318" s="4"/>
      <c r="B4318" s="4"/>
      <c r="C4318" s="5"/>
      <c r="D4318" s="4"/>
      <c r="E4318" s="4"/>
      <c r="F4318" s="4"/>
    </row>
    <row r="4319" spans="1:6" x14ac:dyDescent="0.4">
      <c r="A4319" s="4"/>
      <c r="B4319" s="4"/>
      <c r="C4319" s="5"/>
      <c r="D4319" s="4"/>
      <c r="E4319" s="4"/>
      <c r="F4319" s="4"/>
    </row>
    <row r="4320" spans="1:6" x14ac:dyDescent="0.4">
      <c r="A4320" s="4"/>
      <c r="B4320" s="4"/>
      <c r="C4320" s="5"/>
      <c r="D4320" s="4"/>
      <c r="E4320" s="4"/>
      <c r="F4320" s="4"/>
    </row>
    <row r="4321" spans="1:6" x14ac:dyDescent="0.4">
      <c r="A4321" s="4"/>
      <c r="B4321" s="4"/>
      <c r="C4321" s="5"/>
      <c r="D4321" s="4"/>
      <c r="E4321" s="4"/>
      <c r="F4321" s="4"/>
    </row>
    <row r="4322" spans="1:6" x14ac:dyDescent="0.4">
      <c r="A4322" s="4"/>
      <c r="B4322" s="4"/>
      <c r="C4322" s="5"/>
      <c r="D4322" s="4"/>
      <c r="E4322" s="4"/>
      <c r="F4322" s="4"/>
    </row>
    <row r="4323" spans="1:6" x14ac:dyDescent="0.4">
      <c r="A4323" s="4"/>
      <c r="B4323" s="4"/>
      <c r="C4323" s="5"/>
      <c r="D4323" s="4"/>
      <c r="E4323" s="4"/>
      <c r="F4323" s="4"/>
    </row>
    <row r="4324" spans="1:6" x14ac:dyDescent="0.4">
      <c r="A4324" s="4"/>
      <c r="B4324" s="4"/>
      <c r="C4324" s="5"/>
      <c r="D4324" s="4"/>
      <c r="E4324" s="4"/>
      <c r="F4324" s="4"/>
    </row>
    <row r="4325" spans="1:6" x14ac:dyDescent="0.4">
      <c r="A4325" s="4"/>
      <c r="B4325" s="4"/>
      <c r="C4325" s="5"/>
      <c r="D4325" s="4"/>
      <c r="E4325" s="4"/>
      <c r="F4325" s="4"/>
    </row>
    <row r="4326" spans="1:6" x14ac:dyDescent="0.4">
      <c r="A4326" s="4"/>
      <c r="B4326" s="4"/>
      <c r="C4326" s="5"/>
      <c r="D4326" s="4"/>
      <c r="E4326" s="4"/>
      <c r="F4326" s="4"/>
    </row>
    <row r="4327" spans="1:6" x14ac:dyDescent="0.4">
      <c r="A4327" s="4"/>
      <c r="B4327" s="4"/>
      <c r="C4327" s="5"/>
      <c r="D4327" s="4"/>
      <c r="E4327" s="4"/>
      <c r="F4327" s="4"/>
    </row>
    <row r="4328" spans="1:6" x14ac:dyDescent="0.4">
      <c r="A4328" s="4"/>
      <c r="B4328" s="4"/>
      <c r="C4328" s="5"/>
      <c r="D4328" s="4"/>
      <c r="E4328" s="4"/>
      <c r="F4328" s="4"/>
    </row>
    <row r="4329" spans="1:6" x14ac:dyDescent="0.4">
      <c r="A4329" s="4"/>
      <c r="B4329" s="4"/>
      <c r="C4329" s="5"/>
      <c r="D4329" s="4"/>
      <c r="E4329" s="4"/>
      <c r="F4329" s="4"/>
    </row>
    <row r="4330" spans="1:6" x14ac:dyDescent="0.4">
      <c r="A4330" s="4"/>
      <c r="B4330" s="4"/>
      <c r="C4330" s="5"/>
      <c r="D4330" s="4"/>
      <c r="E4330" s="4"/>
      <c r="F4330" s="4"/>
    </row>
    <row r="4331" spans="1:6" x14ac:dyDescent="0.4">
      <c r="A4331" s="4"/>
      <c r="B4331" s="4"/>
      <c r="C4331" s="5"/>
      <c r="D4331" s="4"/>
      <c r="E4331" s="4"/>
      <c r="F4331" s="4"/>
    </row>
    <row r="4332" spans="1:6" x14ac:dyDescent="0.4">
      <c r="A4332" s="4"/>
      <c r="B4332" s="4"/>
      <c r="C4332" s="5"/>
      <c r="D4332" s="4"/>
      <c r="E4332" s="4"/>
      <c r="F4332" s="4"/>
    </row>
    <row r="4333" spans="1:6" x14ac:dyDescent="0.4">
      <c r="A4333" s="4"/>
      <c r="B4333" s="4"/>
      <c r="C4333" s="5"/>
      <c r="D4333" s="4"/>
      <c r="E4333" s="4"/>
      <c r="F4333" s="4"/>
    </row>
    <row r="4334" spans="1:6" x14ac:dyDescent="0.4">
      <c r="A4334" s="4"/>
      <c r="B4334" s="4"/>
      <c r="C4334" s="5"/>
      <c r="D4334" s="4"/>
      <c r="E4334" s="4"/>
      <c r="F4334" s="4"/>
    </row>
    <row r="4335" spans="1:6" x14ac:dyDescent="0.4">
      <c r="A4335" s="4"/>
      <c r="B4335" s="4"/>
      <c r="C4335" s="5"/>
      <c r="D4335" s="4"/>
      <c r="E4335" s="4"/>
      <c r="F4335" s="4"/>
    </row>
    <row r="4336" spans="1:6" x14ac:dyDescent="0.4">
      <c r="A4336" s="4"/>
      <c r="B4336" s="4"/>
      <c r="C4336" s="5"/>
      <c r="D4336" s="4"/>
      <c r="E4336" s="4"/>
      <c r="F4336" s="4"/>
    </row>
    <row r="4337" spans="1:6" x14ac:dyDescent="0.4">
      <c r="A4337" s="4"/>
      <c r="B4337" s="4"/>
      <c r="C4337" s="5"/>
      <c r="D4337" s="4"/>
      <c r="E4337" s="4"/>
      <c r="F4337" s="4"/>
    </row>
    <row r="4338" spans="1:6" x14ac:dyDescent="0.4">
      <c r="A4338" s="4"/>
      <c r="B4338" s="4"/>
      <c r="C4338" s="5"/>
      <c r="D4338" s="4"/>
      <c r="E4338" s="4"/>
      <c r="F4338" s="4"/>
    </row>
    <row r="4339" spans="1:6" x14ac:dyDescent="0.4">
      <c r="A4339" s="4"/>
      <c r="B4339" s="4"/>
      <c r="C4339" s="5"/>
      <c r="D4339" s="4"/>
      <c r="E4339" s="4"/>
      <c r="F4339" s="4"/>
    </row>
    <row r="4340" spans="1:6" x14ac:dyDescent="0.4">
      <c r="A4340" s="4"/>
      <c r="B4340" s="4"/>
      <c r="C4340" s="5"/>
      <c r="D4340" s="4"/>
      <c r="E4340" s="4"/>
      <c r="F4340" s="4"/>
    </row>
    <row r="4341" spans="1:6" x14ac:dyDescent="0.4">
      <c r="A4341" s="4"/>
      <c r="B4341" s="4"/>
      <c r="C4341" s="5"/>
      <c r="D4341" s="4"/>
      <c r="E4341" s="4"/>
      <c r="F4341" s="4"/>
    </row>
    <row r="4342" spans="1:6" x14ac:dyDescent="0.4">
      <c r="A4342" s="4"/>
      <c r="B4342" s="4"/>
      <c r="C4342" s="5"/>
      <c r="D4342" s="4"/>
      <c r="E4342" s="4"/>
      <c r="F4342" s="4"/>
    </row>
    <row r="4343" spans="1:6" x14ac:dyDescent="0.4">
      <c r="A4343" s="4"/>
      <c r="B4343" s="4"/>
      <c r="C4343" s="5"/>
      <c r="D4343" s="4"/>
      <c r="E4343" s="4"/>
      <c r="F4343" s="4"/>
    </row>
    <row r="4344" spans="1:6" x14ac:dyDescent="0.4">
      <c r="A4344" s="4"/>
      <c r="B4344" s="4"/>
      <c r="C4344" s="5"/>
      <c r="D4344" s="4"/>
      <c r="E4344" s="4"/>
      <c r="F4344" s="4"/>
    </row>
    <row r="4345" spans="1:6" x14ac:dyDescent="0.4">
      <c r="A4345" s="4"/>
      <c r="B4345" s="4"/>
      <c r="C4345" s="5"/>
      <c r="D4345" s="4"/>
      <c r="E4345" s="4"/>
      <c r="F4345" s="4"/>
    </row>
    <row r="4346" spans="1:6" x14ac:dyDescent="0.4">
      <c r="A4346" s="4"/>
      <c r="B4346" s="4"/>
      <c r="C4346" s="5"/>
      <c r="D4346" s="4"/>
      <c r="E4346" s="4"/>
      <c r="F4346" s="4"/>
    </row>
    <row r="4347" spans="1:6" x14ac:dyDescent="0.4">
      <c r="A4347" s="4"/>
      <c r="B4347" s="4"/>
      <c r="C4347" s="5"/>
      <c r="D4347" s="4"/>
      <c r="E4347" s="4"/>
      <c r="F4347" s="4"/>
    </row>
    <row r="4348" spans="1:6" x14ac:dyDescent="0.4">
      <c r="A4348" s="4"/>
      <c r="B4348" s="4"/>
      <c r="C4348" s="5"/>
      <c r="D4348" s="4"/>
      <c r="E4348" s="4"/>
      <c r="F4348" s="4"/>
    </row>
    <row r="4349" spans="1:6" x14ac:dyDescent="0.4">
      <c r="A4349" s="4"/>
      <c r="B4349" s="4"/>
      <c r="C4349" s="5"/>
      <c r="D4349" s="4"/>
      <c r="E4349" s="4"/>
      <c r="F4349" s="4"/>
    </row>
    <row r="4350" spans="1:6" x14ac:dyDescent="0.4">
      <c r="A4350" s="4"/>
      <c r="B4350" s="4"/>
      <c r="C4350" s="5"/>
      <c r="D4350" s="4"/>
      <c r="E4350" s="4"/>
      <c r="F4350" s="4"/>
    </row>
    <row r="4351" spans="1:6" x14ac:dyDescent="0.4">
      <c r="A4351" s="4"/>
      <c r="B4351" s="4"/>
      <c r="C4351" s="5"/>
      <c r="D4351" s="4"/>
      <c r="E4351" s="4"/>
      <c r="F4351" s="4"/>
    </row>
    <row r="4352" spans="1:6" x14ac:dyDescent="0.4">
      <c r="A4352" s="4"/>
      <c r="B4352" s="4"/>
      <c r="C4352" s="5"/>
      <c r="D4352" s="4"/>
      <c r="E4352" s="4"/>
      <c r="F4352" s="4"/>
    </row>
    <row r="4353" spans="1:6" x14ac:dyDescent="0.4">
      <c r="A4353" s="4"/>
      <c r="B4353" s="4"/>
      <c r="C4353" s="5"/>
      <c r="D4353" s="4"/>
      <c r="E4353" s="4"/>
      <c r="F4353" s="4"/>
    </row>
    <row r="4354" spans="1:6" x14ac:dyDescent="0.4">
      <c r="A4354" s="4"/>
      <c r="B4354" s="4"/>
      <c r="C4354" s="5"/>
      <c r="D4354" s="4"/>
      <c r="E4354" s="4"/>
      <c r="F4354" s="4"/>
    </row>
    <row r="4355" spans="1:6" x14ac:dyDescent="0.4">
      <c r="A4355" s="4"/>
      <c r="B4355" s="4"/>
      <c r="C4355" s="5"/>
      <c r="D4355" s="4"/>
      <c r="E4355" s="4"/>
      <c r="F4355" s="4"/>
    </row>
    <row r="4356" spans="1:6" x14ac:dyDescent="0.4">
      <c r="A4356" s="4"/>
      <c r="B4356" s="4"/>
      <c r="C4356" s="5"/>
      <c r="D4356" s="4"/>
      <c r="E4356" s="4"/>
      <c r="F4356" s="4"/>
    </row>
    <row r="4357" spans="1:6" x14ac:dyDescent="0.4">
      <c r="A4357" s="4"/>
      <c r="B4357" s="4"/>
      <c r="C4357" s="5"/>
      <c r="D4357" s="4"/>
      <c r="E4357" s="4"/>
      <c r="F4357" s="4"/>
    </row>
    <row r="4358" spans="1:6" x14ac:dyDescent="0.4">
      <c r="A4358" s="4"/>
      <c r="B4358" s="4"/>
      <c r="C4358" s="5"/>
      <c r="D4358" s="4"/>
      <c r="E4358" s="4"/>
      <c r="F4358" s="4"/>
    </row>
    <row r="4359" spans="1:6" x14ac:dyDescent="0.4">
      <c r="A4359" s="4"/>
      <c r="B4359" s="4"/>
      <c r="C4359" s="5"/>
      <c r="D4359" s="4"/>
      <c r="E4359" s="4"/>
      <c r="F4359" s="4"/>
    </row>
    <row r="4360" spans="1:6" x14ac:dyDescent="0.4">
      <c r="A4360" s="4"/>
      <c r="B4360" s="4"/>
      <c r="C4360" s="5"/>
      <c r="D4360" s="4"/>
      <c r="E4360" s="4"/>
      <c r="F4360" s="4"/>
    </row>
    <row r="4361" spans="1:6" x14ac:dyDescent="0.4">
      <c r="A4361" s="4"/>
      <c r="B4361" s="4"/>
      <c r="C4361" s="5"/>
      <c r="D4361" s="4"/>
      <c r="E4361" s="4"/>
      <c r="F4361" s="4"/>
    </row>
    <row r="4362" spans="1:6" x14ac:dyDescent="0.4">
      <c r="A4362" s="4"/>
      <c r="B4362" s="4"/>
      <c r="C4362" s="5"/>
      <c r="D4362" s="4"/>
      <c r="E4362" s="4"/>
      <c r="F4362" s="4"/>
    </row>
    <row r="4363" spans="1:6" x14ac:dyDescent="0.4">
      <c r="A4363" s="4"/>
      <c r="B4363" s="4"/>
      <c r="C4363" s="5"/>
      <c r="D4363" s="4"/>
      <c r="E4363" s="4"/>
      <c r="F4363" s="4"/>
    </row>
    <row r="4364" spans="1:6" x14ac:dyDescent="0.4">
      <c r="A4364" s="4"/>
      <c r="B4364" s="4"/>
      <c r="C4364" s="5"/>
      <c r="D4364" s="4"/>
      <c r="E4364" s="4"/>
      <c r="F4364" s="4"/>
    </row>
    <row r="4365" spans="1:6" x14ac:dyDescent="0.4">
      <c r="A4365" s="4"/>
      <c r="B4365" s="4"/>
      <c r="C4365" s="5"/>
      <c r="D4365" s="4"/>
      <c r="E4365" s="4"/>
      <c r="F4365" s="4"/>
    </row>
    <row r="4366" spans="1:6" x14ac:dyDescent="0.4">
      <c r="A4366" s="4"/>
      <c r="B4366" s="4"/>
      <c r="C4366" s="5"/>
      <c r="D4366" s="4"/>
      <c r="E4366" s="4"/>
      <c r="F4366" s="4"/>
    </row>
    <row r="4367" spans="1:6" x14ac:dyDescent="0.4">
      <c r="A4367" s="4"/>
      <c r="B4367" s="4"/>
      <c r="C4367" s="5"/>
      <c r="D4367" s="4"/>
      <c r="E4367" s="4"/>
      <c r="F4367" s="4"/>
    </row>
    <row r="4368" spans="1:6" x14ac:dyDescent="0.4">
      <c r="A4368" s="4"/>
      <c r="B4368" s="4"/>
      <c r="C4368" s="5"/>
      <c r="D4368" s="4"/>
      <c r="E4368" s="4"/>
      <c r="F4368" s="4"/>
    </row>
    <row r="4369" spans="1:6" x14ac:dyDescent="0.4">
      <c r="A4369" s="4"/>
      <c r="B4369" s="4"/>
      <c r="C4369" s="5"/>
      <c r="D4369" s="4"/>
      <c r="E4369" s="4"/>
      <c r="F4369" s="4"/>
    </row>
    <row r="4370" spans="1:6" x14ac:dyDescent="0.4">
      <c r="A4370" s="4"/>
      <c r="B4370" s="4"/>
      <c r="C4370" s="5"/>
      <c r="D4370" s="4"/>
      <c r="E4370" s="4"/>
      <c r="F4370" s="4"/>
    </row>
    <row r="4371" spans="1:6" x14ac:dyDescent="0.4">
      <c r="A4371" s="4"/>
      <c r="B4371" s="4"/>
      <c r="C4371" s="5"/>
      <c r="D4371" s="4"/>
      <c r="E4371" s="4"/>
      <c r="F4371" s="4"/>
    </row>
    <row r="4372" spans="1:6" x14ac:dyDescent="0.4">
      <c r="A4372" s="4"/>
      <c r="B4372" s="4"/>
      <c r="C4372" s="5"/>
      <c r="D4372" s="4"/>
      <c r="E4372" s="4"/>
      <c r="F4372" s="4"/>
    </row>
    <row r="4373" spans="1:6" x14ac:dyDescent="0.4">
      <c r="A4373" s="4"/>
      <c r="B4373" s="4"/>
      <c r="C4373" s="5"/>
      <c r="D4373" s="4"/>
      <c r="E4373" s="4"/>
      <c r="F4373" s="4"/>
    </row>
    <row r="4374" spans="1:6" x14ac:dyDescent="0.4">
      <c r="A4374" s="4"/>
      <c r="B4374" s="4"/>
      <c r="C4374" s="5"/>
      <c r="D4374" s="4"/>
      <c r="E4374" s="4"/>
      <c r="F4374" s="4"/>
    </row>
    <row r="4375" spans="1:6" x14ac:dyDescent="0.4">
      <c r="A4375" s="4"/>
      <c r="B4375" s="4"/>
      <c r="C4375" s="5"/>
      <c r="D4375" s="4"/>
      <c r="E4375" s="4"/>
      <c r="F4375" s="4"/>
    </row>
    <row r="4376" spans="1:6" x14ac:dyDescent="0.4">
      <c r="A4376" s="4"/>
      <c r="B4376" s="4"/>
      <c r="C4376" s="5"/>
      <c r="D4376" s="4"/>
      <c r="E4376" s="4"/>
      <c r="F4376" s="4"/>
    </row>
    <row r="4377" spans="1:6" x14ac:dyDescent="0.4">
      <c r="A4377" s="4"/>
      <c r="B4377" s="4"/>
      <c r="C4377" s="5"/>
      <c r="D4377" s="4"/>
      <c r="E4377" s="4"/>
      <c r="F4377" s="4"/>
    </row>
    <row r="4378" spans="1:6" x14ac:dyDescent="0.4">
      <c r="A4378" s="4"/>
      <c r="B4378" s="4"/>
      <c r="C4378" s="5"/>
      <c r="D4378" s="4"/>
      <c r="E4378" s="4"/>
      <c r="F4378" s="4"/>
    </row>
    <row r="4379" spans="1:6" x14ac:dyDescent="0.4">
      <c r="A4379" s="4"/>
      <c r="B4379" s="4"/>
      <c r="C4379" s="5"/>
      <c r="D4379" s="4"/>
      <c r="E4379" s="4"/>
      <c r="F4379" s="4"/>
    </row>
    <row r="4380" spans="1:6" x14ac:dyDescent="0.4">
      <c r="A4380" s="4"/>
      <c r="B4380" s="4"/>
      <c r="C4380" s="5"/>
      <c r="D4380" s="4"/>
      <c r="E4380" s="4"/>
      <c r="F4380" s="4"/>
    </row>
    <row r="4381" spans="1:6" x14ac:dyDescent="0.4">
      <c r="A4381" s="4"/>
      <c r="B4381" s="4"/>
      <c r="C4381" s="5"/>
      <c r="D4381" s="4"/>
      <c r="E4381" s="4"/>
      <c r="F4381" s="4"/>
    </row>
    <row r="4382" spans="1:6" x14ac:dyDescent="0.4">
      <c r="A4382" s="4"/>
      <c r="B4382" s="4"/>
      <c r="C4382" s="5"/>
      <c r="D4382" s="4"/>
      <c r="E4382" s="4"/>
      <c r="F4382" s="4"/>
    </row>
    <row r="4383" spans="1:6" x14ac:dyDescent="0.4">
      <c r="A4383" s="4"/>
      <c r="B4383" s="4"/>
      <c r="C4383" s="5"/>
      <c r="D4383" s="4"/>
      <c r="E4383" s="4"/>
      <c r="F4383" s="4"/>
    </row>
    <row r="4384" spans="1:6" x14ac:dyDescent="0.4">
      <c r="A4384" s="4"/>
      <c r="B4384" s="4"/>
      <c r="C4384" s="5"/>
      <c r="D4384" s="4"/>
      <c r="E4384" s="4"/>
      <c r="F4384" s="4"/>
    </row>
    <row r="4385" spans="1:6" x14ac:dyDescent="0.4">
      <c r="A4385" s="4"/>
      <c r="B4385" s="4"/>
      <c r="C4385" s="5"/>
      <c r="D4385" s="4"/>
      <c r="E4385" s="4"/>
      <c r="F4385" s="4"/>
    </row>
    <row r="4386" spans="1:6" x14ac:dyDescent="0.4">
      <c r="A4386" s="4"/>
      <c r="B4386" s="4"/>
      <c r="C4386" s="5"/>
      <c r="D4386" s="4"/>
      <c r="E4386" s="4"/>
      <c r="F4386" s="4"/>
    </row>
    <row r="4387" spans="1:6" x14ac:dyDescent="0.4">
      <c r="A4387" s="4"/>
      <c r="B4387" s="4"/>
      <c r="C4387" s="5"/>
      <c r="D4387" s="4"/>
      <c r="E4387" s="4"/>
      <c r="F4387" s="4"/>
    </row>
    <row r="4388" spans="1:6" x14ac:dyDescent="0.4">
      <c r="A4388" s="4"/>
      <c r="B4388" s="4"/>
      <c r="C4388" s="5"/>
      <c r="D4388" s="4"/>
      <c r="E4388" s="4"/>
      <c r="F4388" s="4"/>
    </row>
    <row r="4389" spans="1:6" x14ac:dyDescent="0.4">
      <c r="A4389" s="4"/>
      <c r="B4389" s="4"/>
      <c r="C4389" s="5"/>
      <c r="D4389" s="4"/>
      <c r="E4389" s="4"/>
      <c r="F4389" s="4"/>
    </row>
    <row r="4390" spans="1:6" x14ac:dyDescent="0.4">
      <c r="A4390" s="4"/>
      <c r="B4390" s="4"/>
      <c r="C4390" s="5"/>
      <c r="D4390" s="4"/>
      <c r="E4390" s="4"/>
      <c r="F4390" s="4"/>
    </row>
    <row r="4391" spans="1:6" x14ac:dyDescent="0.4">
      <c r="A4391" s="4"/>
      <c r="B4391" s="4"/>
      <c r="C4391" s="5"/>
      <c r="D4391" s="4"/>
      <c r="E4391" s="4"/>
      <c r="F4391" s="4"/>
    </row>
    <row r="4392" spans="1:6" x14ac:dyDescent="0.4">
      <c r="A4392" s="4"/>
      <c r="B4392" s="4"/>
      <c r="C4392" s="5"/>
      <c r="D4392" s="4"/>
      <c r="E4392" s="4"/>
      <c r="F4392" s="4"/>
    </row>
    <row r="4393" spans="1:6" x14ac:dyDescent="0.4">
      <c r="A4393" s="4"/>
      <c r="B4393" s="4"/>
      <c r="C4393" s="5"/>
      <c r="D4393" s="4"/>
      <c r="E4393" s="4"/>
      <c r="F4393" s="4"/>
    </row>
    <row r="4394" spans="1:6" x14ac:dyDescent="0.4">
      <c r="A4394" s="4"/>
      <c r="B4394" s="4"/>
      <c r="C4394" s="5"/>
      <c r="D4394" s="4"/>
      <c r="E4394" s="4"/>
      <c r="F4394" s="4"/>
    </row>
    <row r="4395" spans="1:6" x14ac:dyDescent="0.4">
      <c r="A4395" s="4"/>
      <c r="B4395" s="4"/>
      <c r="C4395" s="5"/>
      <c r="D4395" s="4"/>
      <c r="E4395" s="4"/>
      <c r="F4395" s="4"/>
    </row>
    <row r="4396" spans="1:6" x14ac:dyDescent="0.4">
      <c r="A4396" s="4"/>
      <c r="B4396" s="4"/>
      <c r="C4396" s="5"/>
      <c r="D4396" s="4"/>
      <c r="E4396" s="4"/>
      <c r="F4396" s="4"/>
    </row>
    <row r="4397" spans="1:6" x14ac:dyDescent="0.4">
      <c r="A4397" s="4"/>
      <c r="B4397" s="4"/>
      <c r="C4397" s="5"/>
      <c r="D4397" s="4"/>
      <c r="E4397" s="4"/>
      <c r="F4397" s="4"/>
    </row>
    <row r="4398" spans="1:6" x14ac:dyDescent="0.4">
      <c r="A4398" s="4"/>
      <c r="B4398" s="4"/>
      <c r="C4398" s="5"/>
      <c r="D4398" s="4"/>
      <c r="E4398" s="4"/>
      <c r="F4398" s="4"/>
    </row>
    <row r="4399" spans="1:6" x14ac:dyDescent="0.4">
      <c r="A4399" s="4"/>
      <c r="B4399" s="4"/>
      <c r="C4399" s="5"/>
      <c r="D4399" s="4"/>
      <c r="E4399" s="4"/>
      <c r="F4399" s="4"/>
    </row>
    <row r="4400" spans="1:6" x14ac:dyDescent="0.4">
      <c r="A4400" s="4"/>
      <c r="B4400" s="4"/>
      <c r="C4400" s="5"/>
      <c r="D4400" s="4"/>
      <c r="E4400" s="4"/>
      <c r="F4400" s="4"/>
    </row>
    <row r="4401" spans="1:6" x14ac:dyDescent="0.4">
      <c r="A4401" s="4"/>
      <c r="B4401" s="4"/>
      <c r="C4401" s="5"/>
      <c r="D4401" s="4"/>
      <c r="E4401" s="4"/>
      <c r="F4401" s="4"/>
    </row>
    <row r="4402" spans="1:6" x14ac:dyDescent="0.4">
      <c r="A4402" s="4"/>
      <c r="B4402" s="4"/>
      <c r="C4402" s="5"/>
      <c r="D4402" s="4"/>
      <c r="E4402" s="4"/>
      <c r="F4402" s="4"/>
    </row>
    <row r="4403" spans="1:6" x14ac:dyDescent="0.4">
      <c r="A4403" s="4"/>
      <c r="B4403" s="4"/>
      <c r="C4403" s="5"/>
      <c r="D4403" s="4"/>
      <c r="E4403" s="4"/>
      <c r="F4403" s="4"/>
    </row>
    <row r="4404" spans="1:6" x14ac:dyDescent="0.4">
      <c r="A4404" s="4"/>
      <c r="B4404" s="4"/>
      <c r="C4404" s="5"/>
      <c r="D4404" s="4"/>
      <c r="E4404" s="4"/>
      <c r="F4404" s="4"/>
    </row>
    <row r="4405" spans="1:6" x14ac:dyDescent="0.4">
      <c r="A4405" s="4"/>
      <c r="B4405" s="4"/>
      <c r="C4405" s="5"/>
      <c r="D4405" s="4"/>
      <c r="E4405" s="4"/>
      <c r="F4405" s="4"/>
    </row>
    <row r="4406" spans="1:6" x14ac:dyDescent="0.4">
      <c r="A4406" s="4"/>
      <c r="B4406" s="4"/>
      <c r="C4406" s="5"/>
      <c r="D4406" s="4"/>
      <c r="E4406" s="4"/>
      <c r="F4406" s="4"/>
    </row>
    <row r="4407" spans="1:6" x14ac:dyDescent="0.4">
      <c r="A4407" s="4"/>
      <c r="B4407" s="4"/>
      <c r="C4407" s="5"/>
      <c r="D4407" s="4"/>
      <c r="E4407" s="4"/>
      <c r="F4407" s="4"/>
    </row>
    <row r="4408" spans="1:6" x14ac:dyDescent="0.4">
      <c r="A4408" s="4"/>
      <c r="B4408" s="4"/>
      <c r="C4408" s="5"/>
      <c r="D4408" s="4"/>
      <c r="E4408" s="4"/>
      <c r="F4408" s="4"/>
    </row>
    <row r="4409" spans="1:6" x14ac:dyDescent="0.4">
      <c r="A4409" s="4"/>
      <c r="B4409" s="4"/>
      <c r="C4409" s="5"/>
      <c r="D4409" s="4"/>
      <c r="E4409" s="4"/>
      <c r="F4409" s="4"/>
    </row>
    <row r="4410" spans="1:6" x14ac:dyDescent="0.4">
      <c r="A4410" s="4"/>
      <c r="B4410" s="4"/>
      <c r="C4410" s="5"/>
      <c r="D4410" s="4"/>
      <c r="E4410" s="4"/>
      <c r="F4410" s="4"/>
    </row>
    <row r="4411" spans="1:6" x14ac:dyDescent="0.4">
      <c r="A4411" s="4"/>
      <c r="B4411" s="4"/>
      <c r="C4411" s="5"/>
      <c r="D4411" s="4"/>
      <c r="E4411" s="4"/>
      <c r="F4411" s="4"/>
    </row>
    <row r="4412" spans="1:6" x14ac:dyDescent="0.4">
      <c r="A4412" s="4"/>
      <c r="B4412" s="4"/>
      <c r="C4412" s="5"/>
      <c r="D4412" s="4"/>
      <c r="E4412" s="4"/>
      <c r="F4412" s="4"/>
    </row>
    <row r="4413" spans="1:6" x14ac:dyDescent="0.4">
      <c r="A4413" s="4"/>
      <c r="B4413" s="4"/>
      <c r="C4413" s="5"/>
      <c r="D4413" s="4"/>
      <c r="E4413" s="4"/>
      <c r="F4413" s="4"/>
    </row>
    <row r="4414" spans="1:6" x14ac:dyDescent="0.4">
      <c r="A4414" s="4"/>
      <c r="B4414" s="4"/>
      <c r="C4414" s="5"/>
      <c r="D4414" s="4"/>
      <c r="E4414" s="4"/>
      <c r="F4414" s="4"/>
    </row>
    <row r="4415" spans="1:6" x14ac:dyDescent="0.4">
      <c r="A4415" s="4"/>
      <c r="B4415" s="4"/>
      <c r="C4415" s="5"/>
      <c r="D4415" s="4"/>
      <c r="E4415" s="4"/>
      <c r="F4415" s="4"/>
    </row>
    <row r="4416" spans="1:6" x14ac:dyDescent="0.4">
      <c r="A4416" s="4"/>
      <c r="B4416" s="4"/>
      <c r="C4416" s="5"/>
      <c r="D4416" s="4"/>
      <c r="E4416" s="4"/>
      <c r="F4416" s="4"/>
    </row>
    <row r="4417" spans="1:6" x14ac:dyDescent="0.4">
      <c r="A4417" s="4"/>
      <c r="B4417" s="4"/>
      <c r="C4417" s="5"/>
      <c r="D4417" s="4"/>
      <c r="E4417" s="4"/>
      <c r="F4417" s="4"/>
    </row>
    <row r="4418" spans="1:6" x14ac:dyDescent="0.4">
      <c r="A4418" s="4"/>
      <c r="B4418" s="4"/>
      <c r="C4418" s="5"/>
      <c r="D4418" s="4"/>
      <c r="E4418" s="4"/>
      <c r="F4418" s="4"/>
    </row>
    <row r="4419" spans="1:6" x14ac:dyDescent="0.4">
      <c r="A4419" s="4"/>
      <c r="B4419" s="4"/>
      <c r="C4419" s="5"/>
      <c r="D4419" s="4"/>
      <c r="E4419" s="4"/>
      <c r="F4419" s="4"/>
    </row>
    <row r="4420" spans="1:6" x14ac:dyDescent="0.4">
      <c r="A4420" s="4"/>
      <c r="B4420" s="4"/>
      <c r="C4420" s="5"/>
      <c r="D4420" s="4"/>
      <c r="E4420" s="4"/>
      <c r="F4420" s="4"/>
    </row>
    <row r="4421" spans="1:6" x14ac:dyDescent="0.4">
      <c r="A4421" s="4"/>
      <c r="B4421" s="4"/>
      <c r="C4421" s="5"/>
      <c r="D4421" s="4"/>
      <c r="E4421" s="4"/>
      <c r="F4421" s="4"/>
    </row>
    <row r="4422" spans="1:6" x14ac:dyDescent="0.4">
      <c r="A4422" s="4"/>
      <c r="B4422" s="4"/>
      <c r="C4422" s="5"/>
      <c r="D4422" s="4"/>
      <c r="E4422" s="4"/>
      <c r="F4422" s="4"/>
    </row>
    <row r="4423" spans="1:6" x14ac:dyDescent="0.4">
      <c r="A4423" s="4"/>
      <c r="B4423" s="4"/>
      <c r="C4423" s="5"/>
      <c r="D4423" s="4"/>
      <c r="E4423" s="4"/>
      <c r="F4423" s="4"/>
    </row>
    <row r="4424" spans="1:6" x14ac:dyDescent="0.4">
      <c r="A4424" s="4"/>
      <c r="B4424" s="4"/>
      <c r="C4424" s="5"/>
      <c r="D4424" s="4"/>
      <c r="E4424" s="4"/>
      <c r="F4424" s="4"/>
    </row>
    <row r="4425" spans="1:6" x14ac:dyDescent="0.4">
      <c r="A4425" s="4"/>
      <c r="B4425" s="4"/>
      <c r="C4425" s="5"/>
      <c r="D4425" s="4"/>
      <c r="E4425" s="4"/>
      <c r="F4425" s="4"/>
    </row>
    <row r="4426" spans="1:6" x14ac:dyDescent="0.4">
      <c r="A4426" s="4"/>
      <c r="B4426" s="4"/>
      <c r="C4426" s="5"/>
      <c r="D4426" s="4"/>
      <c r="E4426" s="4"/>
      <c r="F4426" s="4"/>
    </row>
    <row r="4427" spans="1:6" x14ac:dyDescent="0.4">
      <c r="A4427" s="4"/>
      <c r="B4427" s="4"/>
      <c r="C4427" s="5"/>
      <c r="D4427" s="4"/>
      <c r="E4427" s="4"/>
      <c r="F4427" s="4"/>
    </row>
    <row r="4428" spans="1:6" x14ac:dyDescent="0.4">
      <c r="A4428" s="4"/>
      <c r="B4428" s="4"/>
      <c r="C4428" s="5"/>
      <c r="D4428" s="4"/>
      <c r="E4428" s="4"/>
      <c r="F4428" s="4"/>
    </row>
    <row r="4429" spans="1:6" x14ac:dyDescent="0.4">
      <c r="A4429" s="4"/>
      <c r="B4429" s="4"/>
      <c r="C4429" s="5"/>
      <c r="D4429" s="4"/>
      <c r="E4429" s="4"/>
      <c r="F4429" s="4"/>
    </row>
    <row r="4430" spans="1:6" x14ac:dyDescent="0.4">
      <c r="A4430" s="4"/>
      <c r="B4430" s="4"/>
      <c r="C4430" s="5"/>
      <c r="D4430" s="4"/>
      <c r="E4430" s="4"/>
      <c r="F4430" s="4"/>
    </row>
    <row r="4431" spans="1:6" x14ac:dyDescent="0.4">
      <c r="A4431" s="4"/>
      <c r="B4431" s="4"/>
      <c r="C4431" s="5"/>
      <c r="D4431" s="4"/>
      <c r="E4431" s="4"/>
      <c r="F4431" s="4"/>
    </row>
    <row r="4432" spans="1:6" x14ac:dyDescent="0.4">
      <c r="A4432" s="4"/>
      <c r="B4432" s="4"/>
      <c r="C4432" s="5"/>
      <c r="D4432" s="4"/>
      <c r="E4432" s="4"/>
      <c r="F4432" s="4"/>
    </row>
    <row r="4433" spans="1:6" x14ac:dyDescent="0.4">
      <c r="A4433" s="4"/>
      <c r="B4433" s="4"/>
      <c r="C4433" s="5"/>
      <c r="D4433" s="4"/>
      <c r="E4433" s="4"/>
      <c r="F4433" s="4"/>
    </row>
    <row r="4434" spans="1:6" x14ac:dyDescent="0.4">
      <c r="A4434" s="4"/>
      <c r="B4434" s="4"/>
      <c r="C4434" s="5"/>
      <c r="D4434" s="4"/>
      <c r="E4434" s="4"/>
      <c r="F4434" s="4"/>
    </row>
    <row r="4435" spans="1:6" x14ac:dyDescent="0.4">
      <c r="A4435" s="4"/>
      <c r="B4435" s="4"/>
      <c r="C4435" s="5"/>
      <c r="D4435" s="4"/>
      <c r="E4435" s="4"/>
      <c r="F4435" s="4"/>
    </row>
    <row r="4436" spans="1:6" x14ac:dyDescent="0.4">
      <c r="A4436" s="4"/>
      <c r="B4436" s="4"/>
      <c r="C4436" s="5"/>
      <c r="D4436" s="4"/>
      <c r="E4436" s="4"/>
      <c r="F4436" s="4"/>
    </row>
    <row r="4437" spans="1:6" x14ac:dyDescent="0.4">
      <c r="A4437" s="4"/>
      <c r="B4437" s="4"/>
      <c r="C4437" s="5"/>
      <c r="D4437" s="4"/>
      <c r="E4437" s="4"/>
      <c r="F4437" s="4"/>
    </row>
    <row r="4438" spans="1:6" x14ac:dyDescent="0.4">
      <c r="A4438" s="4"/>
      <c r="B4438" s="4"/>
      <c r="C4438" s="5"/>
      <c r="D4438" s="4"/>
      <c r="E4438" s="4"/>
      <c r="F4438" s="4"/>
    </row>
    <row r="4439" spans="1:6" x14ac:dyDescent="0.4">
      <c r="A4439" s="4"/>
      <c r="B4439" s="4"/>
      <c r="C4439" s="5"/>
      <c r="D4439" s="4"/>
      <c r="E4439" s="4"/>
      <c r="F4439" s="4"/>
    </row>
    <row r="4440" spans="1:6" x14ac:dyDescent="0.4">
      <c r="A4440" s="4"/>
      <c r="B4440" s="4"/>
      <c r="C4440" s="5"/>
      <c r="D4440" s="4"/>
      <c r="E4440" s="4"/>
      <c r="F4440" s="4"/>
    </row>
    <row r="4441" spans="1:6" x14ac:dyDescent="0.4">
      <c r="A4441" s="4"/>
      <c r="B4441" s="4"/>
      <c r="C4441" s="5"/>
      <c r="D4441" s="4"/>
      <c r="E4441" s="4"/>
      <c r="F4441" s="4"/>
    </row>
    <row r="4442" spans="1:6" x14ac:dyDescent="0.4">
      <c r="A4442" s="4"/>
      <c r="B4442" s="4"/>
      <c r="C4442" s="5"/>
      <c r="D4442" s="4"/>
      <c r="E4442" s="4"/>
      <c r="F4442" s="4"/>
    </row>
    <row r="4443" spans="1:6" x14ac:dyDescent="0.4">
      <c r="A4443" s="4"/>
      <c r="B4443" s="4"/>
      <c r="C4443" s="5"/>
      <c r="D4443" s="4"/>
      <c r="E4443" s="4"/>
      <c r="F4443" s="4"/>
    </row>
    <row r="4444" spans="1:6" x14ac:dyDescent="0.4">
      <c r="A4444" s="4"/>
      <c r="B4444" s="4"/>
      <c r="C4444" s="5"/>
      <c r="D4444" s="4"/>
      <c r="E4444" s="4"/>
      <c r="F4444" s="4"/>
    </row>
    <row r="4445" spans="1:6" x14ac:dyDescent="0.4">
      <c r="A4445" s="4"/>
      <c r="B4445" s="4"/>
      <c r="C4445" s="5"/>
      <c r="D4445" s="4"/>
      <c r="E4445" s="4"/>
      <c r="F4445" s="4"/>
    </row>
    <row r="4446" spans="1:6" x14ac:dyDescent="0.4">
      <c r="A4446" s="4"/>
      <c r="B4446" s="4"/>
      <c r="C4446" s="5"/>
      <c r="D4446" s="4"/>
      <c r="E4446" s="4"/>
      <c r="F4446" s="4"/>
    </row>
    <row r="4447" spans="1:6" x14ac:dyDescent="0.4">
      <c r="A4447" s="4"/>
      <c r="B4447" s="4"/>
      <c r="C4447" s="5"/>
      <c r="D4447" s="4"/>
      <c r="E4447" s="4"/>
      <c r="F4447" s="4"/>
    </row>
    <row r="4448" spans="1:6" x14ac:dyDescent="0.4">
      <c r="A4448" s="4"/>
      <c r="B4448" s="4"/>
      <c r="C4448" s="5"/>
      <c r="D4448" s="4"/>
      <c r="E4448" s="4"/>
      <c r="F4448" s="4"/>
    </row>
    <row r="4449" spans="1:6" x14ac:dyDescent="0.4">
      <c r="A4449" s="4"/>
      <c r="B4449" s="4"/>
      <c r="C4449" s="5"/>
      <c r="D4449" s="4"/>
      <c r="E4449" s="4"/>
      <c r="F4449" s="4"/>
    </row>
    <row r="4450" spans="1:6" x14ac:dyDescent="0.4">
      <c r="A4450" s="4"/>
      <c r="B4450" s="4"/>
      <c r="C4450" s="5"/>
      <c r="D4450" s="4"/>
      <c r="E4450" s="4"/>
      <c r="F4450" s="4"/>
    </row>
    <row r="4451" spans="1:6" x14ac:dyDescent="0.4">
      <c r="A4451" s="4"/>
      <c r="B4451" s="4"/>
      <c r="C4451" s="5"/>
      <c r="D4451" s="4"/>
      <c r="E4451" s="4"/>
      <c r="F4451" s="4"/>
    </row>
    <row r="4452" spans="1:6" x14ac:dyDescent="0.4">
      <c r="A4452" s="4"/>
      <c r="B4452" s="4"/>
      <c r="C4452" s="5"/>
      <c r="D4452" s="4"/>
      <c r="E4452" s="4"/>
      <c r="F4452" s="4"/>
    </row>
    <row r="4453" spans="1:6" x14ac:dyDescent="0.4">
      <c r="A4453" s="4"/>
      <c r="B4453" s="4"/>
      <c r="C4453" s="5"/>
      <c r="D4453" s="4"/>
      <c r="E4453" s="4"/>
      <c r="F4453" s="4"/>
    </row>
    <row r="4454" spans="1:6" x14ac:dyDescent="0.4">
      <c r="A4454" s="4"/>
      <c r="B4454" s="4"/>
      <c r="C4454" s="5"/>
      <c r="D4454" s="4"/>
      <c r="E4454" s="4"/>
      <c r="F4454" s="4"/>
    </row>
    <row r="4455" spans="1:6" x14ac:dyDescent="0.4">
      <c r="A4455" s="4"/>
      <c r="B4455" s="4"/>
      <c r="C4455" s="5"/>
      <c r="D4455" s="4"/>
      <c r="E4455" s="4"/>
      <c r="F4455" s="4"/>
    </row>
    <row r="4456" spans="1:6" x14ac:dyDescent="0.4">
      <c r="A4456" s="4"/>
      <c r="B4456" s="4"/>
      <c r="C4456" s="5"/>
      <c r="D4456" s="4"/>
      <c r="E4456" s="4"/>
      <c r="F4456" s="4"/>
    </row>
    <row r="4457" spans="1:6" x14ac:dyDescent="0.4">
      <c r="A4457" s="4"/>
      <c r="B4457" s="4"/>
      <c r="C4457" s="5"/>
      <c r="D4457" s="4"/>
      <c r="E4457" s="4"/>
      <c r="F4457" s="4"/>
    </row>
    <row r="4458" spans="1:6" x14ac:dyDescent="0.4">
      <c r="A4458" s="4"/>
      <c r="B4458" s="4"/>
      <c r="C4458" s="5"/>
      <c r="D4458" s="4"/>
      <c r="E4458" s="4"/>
      <c r="F4458" s="4"/>
    </row>
    <row r="4459" spans="1:6" x14ac:dyDescent="0.4">
      <c r="A4459" s="4"/>
      <c r="B4459" s="4"/>
      <c r="C4459" s="5"/>
      <c r="D4459" s="4"/>
      <c r="E4459" s="4"/>
      <c r="F4459" s="4"/>
    </row>
    <row r="4460" spans="1:6" x14ac:dyDescent="0.4">
      <c r="A4460" s="4"/>
      <c r="B4460" s="4"/>
      <c r="C4460" s="5"/>
      <c r="D4460" s="4"/>
      <c r="E4460" s="4"/>
      <c r="F4460" s="4"/>
    </row>
    <row r="4461" spans="1:6" x14ac:dyDescent="0.4">
      <c r="A4461" s="4"/>
      <c r="B4461" s="4"/>
      <c r="C4461" s="5"/>
      <c r="D4461" s="4"/>
      <c r="E4461" s="4"/>
      <c r="F4461" s="4"/>
    </row>
    <row r="4462" spans="1:6" x14ac:dyDescent="0.4">
      <c r="A4462" s="4"/>
      <c r="B4462" s="4"/>
      <c r="C4462" s="5"/>
      <c r="D4462" s="4"/>
      <c r="E4462" s="4"/>
      <c r="F4462" s="4"/>
    </row>
    <row r="4463" spans="1:6" x14ac:dyDescent="0.4">
      <c r="A4463" s="4"/>
      <c r="B4463" s="4"/>
      <c r="C4463" s="5"/>
      <c r="D4463" s="4"/>
      <c r="E4463" s="4"/>
      <c r="F4463" s="4"/>
    </row>
    <row r="4464" spans="1:6" x14ac:dyDescent="0.4">
      <c r="A4464" s="4"/>
      <c r="B4464" s="4"/>
      <c r="C4464" s="5"/>
      <c r="D4464" s="4"/>
      <c r="E4464" s="4"/>
      <c r="F4464" s="4"/>
    </row>
    <row r="4465" spans="1:6" x14ac:dyDescent="0.4">
      <c r="A4465" s="4"/>
      <c r="B4465" s="4"/>
      <c r="C4465" s="5"/>
      <c r="D4465" s="4"/>
      <c r="E4465" s="4"/>
      <c r="F4465" s="4"/>
    </row>
    <row r="4466" spans="1:6" x14ac:dyDescent="0.4">
      <c r="A4466" s="4"/>
      <c r="B4466" s="4"/>
      <c r="C4466" s="5"/>
      <c r="D4466" s="4"/>
      <c r="E4466" s="4"/>
      <c r="F4466" s="4"/>
    </row>
    <row r="4467" spans="1:6" x14ac:dyDescent="0.4">
      <c r="A4467" s="4"/>
      <c r="B4467" s="4"/>
      <c r="C4467" s="5"/>
      <c r="D4467" s="4"/>
      <c r="E4467" s="4"/>
      <c r="F4467" s="4"/>
    </row>
    <row r="4468" spans="1:6" x14ac:dyDescent="0.4">
      <c r="A4468" s="4"/>
      <c r="B4468" s="4"/>
      <c r="C4468" s="5"/>
      <c r="D4468" s="4"/>
      <c r="E4468" s="4"/>
      <c r="F4468" s="4"/>
    </row>
    <row r="4469" spans="1:6" x14ac:dyDescent="0.4">
      <c r="A4469" s="4"/>
      <c r="B4469" s="4"/>
      <c r="C4469" s="5"/>
      <c r="D4469" s="4"/>
      <c r="E4469" s="4"/>
      <c r="F4469" s="4"/>
    </row>
    <row r="4470" spans="1:6" x14ac:dyDescent="0.4">
      <c r="A4470" s="4"/>
      <c r="B4470" s="4"/>
      <c r="C4470" s="5"/>
      <c r="D4470" s="4"/>
      <c r="E4470" s="4"/>
      <c r="F4470" s="4"/>
    </row>
    <row r="4471" spans="1:6" x14ac:dyDescent="0.4">
      <c r="A4471" s="4"/>
      <c r="B4471" s="4"/>
      <c r="C4471" s="5"/>
      <c r="D4471" s="4"/>
      <c r="E4471" s="4"/>
      <c r="F4471" s="4"/>
    </row>
    <row r="4472" spans="1:6" x14ac:dyDescent="0.4">
      <c r="A4472" s="4"/>
      <c r="B4472" s="4"/>
      <c r="C4472" s="5"/>
      <c r="D4472" s="4"/>
      <c r="E4472" s="4"/>
      <c r="F4472" s="4"/>
    </row>
    <row r="4473" spans="1:6" x14ac:dyDescent="0.4">
      <c r="A4473" s="4"/>
      <c r="B4473" s="4"/>
      <c r="C4473" s="5"/>
      <c r="D4473" s="4"/>
      <c r="E4473" s="4"/>
      <c r="F4473" s="4"/>
    </row>
    <row r="4474" spans="1:6" x14ac:dyDescent="0.4">
      <c r="A4474" s="4"/>
      <c r="B4474" s="4"/>
      <c r="C4474" s="5"/>
      <c r="D4474" s="4"/>
      <c r="E4474" s="4"/>
      <c r="F4474" s="4"/>
    </row>
    <row r="4475" spans="1:6" x14ac:dyDescent="0.4">
      <c r="A4475" s="4"/>
      <c r="B4475" s="4"/>
      <c r="C4475" s="5"/>
      <c r="D4475" s="4"/>
      <c r="E4475" s="4"/>
      <c r="F4475" s="4"/>
    </row>
    <row r="4476" spans="1:6" x14ac:dyDescent="0.4">
      <c r="A4476" s="4"/>
      <c r="B4476" s="4"/>
      <c r="C4476" s="5"/>
      <c r="D4476" s="4"/>
      <c r="E4476" s="4"/>
      <c r="F4476" s="4"/>
    </row>
    <row r="4477" spans="1:6" x14ac:dyDescent="0.4">
      <c r="A4477" s="4"/>
      <c r="B4477" s="4"/>
      <c r="C4477" s="5"/>
      <c r="D4477" s="4"/>
      <c r="E4477" s="4"/>
      <c r="F4477" s="4"/>
    </row>
    <row r="4478" spans="1:6" x14ac:dyDescent="0.4">
      <c r="A4478" s="4"/>
      <c r="B4478" s="4"/>
      <c r="C4478" s="5"/>
      <c r="D4478" s="4"/>
      <c r="E4478" s="4"/>
      <c r="F4478" s="4"/>
    </row>
    <row r="4479" spans="1:6" x14ac:dyDescent="0.4">
      <c r="A4479" s="4"/>
      <c r="B4479" s="4"/>
      <c r="C4479" s="5"/>
      <c r="D4479" s="4"/>
      <c r="E4479" s="4"/>
      <c r="F4479" s="4"/>
    </row>
    <row r="4480" spans="1:6" x14ac:dyDescent="0.4">
      <c r="A4480" s="4"/>
      <c r="B4480" s="4"/>
      <c r="C4480" s="5"/>
      <c r="D4480" s="4"/>
      <c r="E4480" s="4"/>
      <c r="F4480" s="4"/>
    </row>
    <row r="4481" spans="1:6" x14ac:dyDescent="0.4">
      <c r="A4481" s="4"/>
      <c r="B4481" s="4"/>
      <c r="C4481" s="5"/>
      <c r="D4481" s="4"/>
      <c r="E4481" s="4"/>
      <c r="F4481" s="4"/>
    </row>
    <row r="4482" spans="1:6" x14ac:dyDescent="0.4">
      <c r="A4482" s="4"/>
      <c r="B4482" s="4"/>
      <c r="C4482" s="5"/>
      <c r="D4482" s="4"/>
      <c r="E4482" s="4"/>
      <c r="F4482" s="4"/>
    </row>
    <row r="4483" spans="1:6" x14ac:dyDescent="0.4">
      <c r="A4483" s="4"/>
      <c r="B4483" s="4"/>
      <c r="C4483" s="5"/>
      <c r="D4483" s="4"/>
      <c r="E4483" s="4"/>
      <c r="F4483" s="4"/>
    </row>
    <row r="4484" spans="1:6" x14ac:dyDescent="0.4">
      <c r="A4484" s="4"/>
      <c r="B4484" s="4"/>
      <c r="C4484" s="5"/>
      <c r="D4484" s="4"/>
      <c r="E4484" s="4"/>
      <c r="F4484" s="4"/>
    </row>
    <row r="4485" spans="1:6" x14ac:dyDescent="0.4">
      <c r="A4485" s="4"/>
      <c r="B4485" s="4"/>
      <c r="C4485" s="5"/>
      <c r="D4485" s="4"/>
      <c r="E4485" s="4"/>
      <c r="F4485" s="4"/>
    </row>
    <row r="4486" spans="1:6" x14ac:dyDescent="0.4">
      <c r="A4486" s="4"/>
      <c r="B4486" s="4"/>
      <c r="C4486" s="5"/>
      <c r="D4486" s="4"/>
      <c r="E4486" s="4"/>
      <c r="F4486" s="4"/>
    </row>
    <row r="4487" spans="1:6" x14ac:dyDescent="0.4">
      <c r="A4487" s="4"/>
      <c r="B4487" s="4"/>
      <c r="C4487" s="5"/>
      <c r="D4487" s="4"/>
      <c r="E4487" s="4"/>
      <c r="F4487" s="4"/>
    </row>
    <row r="4488" spans="1:6" x14ac:dyDescent="0.4">
      <c r="A4488" s="4"/>
      <c r="B4488" s="4"/>
      <c r="C4488" s="5"/>
      <c r="D4488" s="4"/>
      <c r="E4488" s="4"/>
      <c r="F4488" s="4"/>
    </row>
    <row r="4489" spans="1:6" x14ac:dyDescent="0.4">
      <c r="A4489" s="4"/>
      <c r="B4489" s="4"/>
      <c r="C4489" s="5"/>
      <c r="D4489" s="4"/>
      <c r="E4489" s="4"/>
      <c r="F4489" s="4"/>
    </row>
    <row r="4490" spans="1:6" x14ac:dyDescent="0.4">
      <c r="A4490" s="4"/>
      <c r="B4490" s="4"/>
      <c r="C4490" s="5"/>
      <c r="D4490" s="4"/>
      <c r="E4490" s="4"/>
      <c r="F4490" s="4"/>
    </row>
    <row r="4491" spans="1:6" x14ac:dyDescent="0.4">
      <c r="A4491" s="4"/>
      <c r="B4491" s="4"/>
      <c r="C4491" s="5"/>
      <c r="D4491" s="4"/>
      <c r="E4491" s="4"/>
      <c r="F4491" s="4"/>
    </row>
    <row r="4492" spans="1:6" x14ac:dyDescent="0.4">
      <c r="A4492" s="4"/>
      <c r="B4492" s="4"/>
      <c r="C4492" s="5"/>
      <c r="D4492" s="4"/>
      <c r="E4492" s="4"/>
      <c r="F4492" s="4"/>
    </row>
    <row r="4493" spans="1:6" x14ac:dyDescent="0.4">
      <c r="A4493" s="4"/>
      <c r="B4493" s="4"/>
      <c r="C4493" s="5"/>
      <c r="D4493" s="4"/>
      <c r="E4493" s="4"/>
      <c r="F4493" s="4"/>
    </row>
    <row r="4494" spans="1:6" x14ac:dyDescent="0.4">
      <c r="A4494" s="4"/>
      <c r="B4494" s="4"/>
      <c r="C4494" s="5"/>
      <c r="D4494" s="4"/>
      <c r="E4494" s="4"/>
      <c r="F4494" s="4"/>
    </row>
    <row r="4495" spans="1:6" x14ac:dyDescent="0.4">
      <c r="A4495" s="4"/>
      <c r="B4495" s="4"/>
      <c r="C4495" s="5"/>
      <c r="D4495" s="4"/>
      <c r="E4495" s="4"/>
      <c r="F4495" s="4"/>
    </row>
    <row r="4496" spans="1:6" x14ac:dyDescent="0.4">
      <c r="A4496" s="4"/>
      <c r="B4496" s="4"/>
      <c r="C4496" s="5"/>
      <c r="D4496" s="4"/>
      <c r="E4496" s="4"/>
      <c r="F4496" s="4"/>
    </row>
    <row r="4497" spans="1:6" x14ac:dyDescent="0.4">
      <c r="A4497" s="4"/>
      <c r="B4497" s="4"/>
      <c r="C4497" s="5"/>
      <c r="D4497" s="4"/>
      <c r="E4497" s="4"/>
      <c r="F4497" s="4"/>
    </row>
    <row r="4498" spans="1:6" x14ac:dyDescent="0.4">
      <c r="A4498" s="4"/>
      <c r="B4498" s="4"/>
      <c r="C4498" s="5"/>
      <c r="D4498" s="4"/>
      <c r="E4498" s="4"/>
      <c r="F4498" s="4"/>
    </row>
    <row r="4499" spans="1:6" x14ac:dyDescent="0.4">
      <c r="A4499" s="4"/>
      <c r="B4499" s="4"/>
      <c r="C4499" s="5"/>
      <c r="D4499" s="4"/>
      <c r="E4499" s="4"/>
      <c r="F4499" s="4"/>
    </row>
    <row r="4500" spans="1:6" x14ac:dyDescent="0.4">
      <c r="A4500" s="4"/>
      <c r="B4500" s="4"/>
      <c r="C4500" s="5"/>
      <c r="D4500" s="4"/>
      <c r="E4500" s="4"/>
      <c r="F4500" s="4"/>
    </row>
    <row r="4501" spans="1:6" x14ac:dyDescent="0.4">
      <c r="A4501" s="4"/>
      <c r="B4501" s="4"/>
      <c r="C4501" s="5"/>
      <c r="D4501" s="4"/>
      <c r="E4501" s="4"/>
      <c r="F4501" s="4"/>
    </row>
    <row r="4502" spans="1:6" x14ac:dyDescent="0.4">
      <c r="A4502" s="4"/>
      <c r="B4502" s="4"/>
      <c r="C4502" s="5"/>
      <c r="D4502" s="4"/>
      <c r="E4502" s="4"/>
      <c r="F4502" s="4"/>
    </row>
    <row r="4503" spans="1:6" x14ac:dyDescent="0.4">
      <c r="A4503" s="4"/>
      <c r="B4503" s="4"/>
      <c r="C4503" s="5"/>
      <c r="D4503" s="4"/>
      <c r="E4503" s="4"/>
      <c r="F4503" s="4"/>
    </row>
    <row r="4504" spans="1:6" x14ac:dyDescent="0.4">
      <c r="A4504" s="4"/>
      <c r="B4504" s="4"/>
      <c r="C4504" s="5"/>
      <c r="D4504" s="4"/>
      <c r="E4504" s="4"/>
      <c r="F4504" s="4"/>
    </row>
    <row r="4505" spans="1:6" x14ac:dyDescent="0.4">
      <c r="A4505" s="4"/>
      <c r="B4505" s="4"/>
      <c r="C4505" s="5"/>
      <c r="D4505" s="4"/>
      <c r="E4505" s="4"/>
      <c r="F4505" s="4"/>
    </row>
    <row r="4506" spans="1:6" x14ac:dyDescent="0.4">
      <c r="A4506" s="4"/>
      <c r="B4506" s="4"/>
      <c r="C4506" s="5"/>
      <c r="D4506" s="4"/>
      <c r="E4506" s="4"/>
      <c r="F4506" s="4"/>
    </row>
    <row r="4507" spans="1:6" x14ac:dyDescent="0.4">
      <c r="A4507" s="4"/>
      <c r="B4507" s="4"/>
      <c r="C4507" s="5"/>
      <c r="D4507" s="4"/>
      <c r="E4507" s="4"/>
      <c r="F4507" s="4"/>
    </row>
    <row r="4508" spans="1:6" x14ac:dyDescent="0.4">
      <c r="A4508" s="4"/>
      <c r="B4508" s="4"/>
      <c r="C4508" s="5"/>
      <c r="D4508" s="4"/>
      <c r="E4508" s="4"/>
      <c r="F4508" s="4"/>
    </row>
    <row r="4509" spans="1:6" x14ac:dyDescent="0.4">
      <c r="A4509" s="4"/>
      <c r="B4509" s="4"/>
      <c r="C4509" s="5"/>
      <c r="D4509" s="4"/>
      <c r="E4509" s="4"/>
      <c r="F4509" s="4"/>
    </row>
    <row r="4510" spans="1:6" x14ac:dyDescent="0.4">
      <c r="A4510" s="4"/>
      <c r="B4510" s="4"/>
      <c r="C4510" s="5"/>
      <c r="D4510" s="4"/>
      <c r="E4510" s="4"/>
      <c r="F4510" s="4"/>
    </row>
    <row r="4511" spans="1:6" x14ac:dyDescent="0.4">
      <c r="A4511" s="4"/>
      <c r="B4511" s="4"/>
      <c r="C4511" s="5"/>
      <c r="D4511" s="4"/>
      <c r="E4511" s="4"/>
      <c r="F4511" s="4"/>
    </row>
    <row r="4512" spans="1:6" x14ac:dyDescent="0.4">
      <c r="A4512" s="4"/>
      <c r="B4512" s="4"/>
      <c r="C4512" s="5"/>
      <c r="D4512" s="4"/>
      <c r="E4512" s="4"/>
      <c r="F4512" s="4"/>
    </row>
    <row r="4513" spans="1:6" x14ac:dyDescent="0.4">
      <c r="A4513" s="4"/>
      <c r="B4513" s="4"/>
      <c r="C4513" s="5"/>
      <c r="D4513" s="4"/>
      <c r="E4513" s="4"/>
      <c r="F4513" s="4"/>
    </row>
    <row r="4514" spans="1:6" x14ac:dyDescent="0.4">
      <c r="A4514" s="4"/>
      <c r="B4514" s="4"/>
      <c r="C4514" s="5"/>
      <c r="D4514" s="4"/>
      <c r="E4514" s="4"/>
      <c r="F4514" s="4"/>
    </row>
    <row r="4515" spans="1:6" x14ac:dyDescent="0.4">
      <c r="A4515" s="4"/>
      <c r="B4515" s="4"/>
      <c r="C4515" s="5"/>
      <c r="D4515" s="4"/>
      <c r="E4515" s="4"/>
      <c r="F4515" s="4"/>
    </row>
    <row r="4516" spans="1:6" x14ac:dyDescent="0.4">
      <c r="A4516" s="4"/>
      <c r="B4516" s="4"/>
      <c r="C4516" s="5"/>
      <c r="D4516" s="4"/>
      <c r="E4516" s="4"/>
      <c r="F4516" s="4"/>
    </row>
    <row r="4517" spans="1:6" x14ac:dyDescent="0.4">
      <c r="A4517" s="4"/>
      <c r="B4517" s="4"/>
      <c r="C4517" s="5"/>
      <c r="D4517" s="4"/>
      <c r="E4517" s="4"/>
      <c r="F4517" s="4"/>
    </row>
    <row r="4518" spans="1:6" x14ac:dyDescent="0.4">
      <c r="A4518" s="4"/>
      <c r="B4518" s="4"/>
      <c r="C4518" s="5"/>
      <c r="D4518" s="4"/>
      <c r="E4518" s="4"/>
      <c r="F4518" s="4"/>
    </row>
    <row r="4519" spans="1:6" x14ac:dyDescent="0.4">
      <c r="A4519" s="4"/>
      <c r="B4519" s="4"/>
      <c r="C4519" s="5"/>
      <c r="D4519" s="4"/>
      <c r="E4519" s="4"/>
      <c r="F4519" s="4"/>
    </row>
    <row r="4520" spans="1:6" x14ac:dyDescent="0.4">
      <c r="A4520" s="4"/>
      <c r="B4520" s="4"/>
      <c r="C4520" s="5"/>
      <c r="D4520" s="4"/>
      <c r="E4520" s="4"/>
      <c r="F4520" s="4"/>
    </row>
    <row r="4521" spans="1:6" x14ac:dyDescent="0.4">
      <c r="A4521" s="4"/>
      <c r="B4521" s="4"/>
      <c r="C4521" s="5"/>
      <c r="D4521" s="4"/>
      <c r="E4521" s="4"/>
      <c r="F4521" s="4"/>
    </row>
    <row r="4522" spans="1:6" x14ac:dyDescent="0.4">
      <c r="A4522" s="4"/>
      <c r="B4522" s="4"/>
      <c r="C4522" s="5"/>
      <c r="D4522" s="4"/>
      <c r="E4522" s="4"/>
      <c r="F4522" s="4"/>
    </row>
    <row r="4523" spans="1:6" x14ac:dyDescent="0.4">
      <c r="A4523" s="4"/>
      <c r="B4523" s="4"/>
      <c r="C4523" s="5"/>
      <c r="D4523" s="4"/>
      <c r="E4523" s="4"/>
      <c r="F4523" s="4"/>
    </row>
    <row r="4524" spans="1:6" x14ac:dyDescent="0.4">
      <c r="A4524" s="4"/>
      <c r="B4524" s="4"/>
      <c r="C4524" s="5"/>
      <c r="D4524" s="4"/>
      <c r="E4524" s="4"/>
      <c r="F4524" s="4"/>
    </row>
    <row r="4525" spans="1:6" x14ac:dyDescent="0.4">
      <c r="A4525" s="4"/>
      <c r="B4525" s="4"/>
      <c r="C4525" s="5"/>
      <c r="D4525" s="4"/>
      <c r="E4525" s="4"/>
      <c r="F4525" s="4"/>
    </row>
    <row r="4526" spans="1:6" x14ac:dyDescent="0.4">
      <c r="A4526" s="4"/>
      <c r="B4526" s="4"/>
      <c r="C4526" s="5"/>
      <c r="D4526" s="4"/>
      <c r="E4526" s="4"/>
      <c r="F4526" s="4"/>
    </row>
    <row r="4527" spans="1:6" x14ac:dyDescent="0.4">
      <c r="A4527" s="4"/>
      <c r="B4527" s="4"/>
      <c r="C4527" s="5"/>
      <c r="D4527" s="4"/>
      <c r="E4527" s="4"/>
      <c r="F4527" s="4"/>
    </row>
    <row r="4528" spans="1:6" x14ac:dyDescent="0.4">
      <c r="A4528" s="4"/>
      <c r="B4528" s="4"/>
      <c r="C4528" s="5"/>
      <c r="D4528" s="4"/>
      <c r="E4528" s="4"/>
      <c r="F4528" s="4"/>
    </row>
    <row r="4529" spans="1:6" x14ac:dyDescent="0.4">
      <c r="A4529" s="4"/>
      <c r="B4529" s="4"/>
      <c r="C4529" s="5"/>
      <c r="D4529" s="4"/>
      <c r="E4529" s="4"/>
      <c r="F4529" s="4"/>
    </row>
    <row r="4530" spans="1:6" x14ac:dyDescent="0.4">
      <c r="A4530" s="4"/>
      <c r="B4530" s="4"/>
      <c r="C4530" s="5"/>
      <c r="D4530" s="4"/>
      <c r="E4530" s="4"/>
      <c r="F4530" s="4"/>
    </row>
    <row r="4531" spans="1:6" x14ac:dyDescent="0.4">
      <c r="A4531" s="4"/>
      <c r="B4531" s="4"/>
      <c r="C4531" s="5"/>
      <c r="D4531" s="4"/>
      <c r="E4531" s="4"/>
      <c r="F4531" s="4"/>
    </row>
    <row r="4532" spans="1:6" x14ac:dyDescent="0.4">
      <c r="A4532" s="4"/>
      <c r="B4532" s="4"/>
      <c r="C4532" s="5"/>
      <c r="D4532" s="4"/>
      <c r="E4532" s="4"/>
      <c r="F4532" s="4"/>
    </row>
    <row r="4533" spans="1:6" x14ac:dyDescent="0.4">
      <c r="A4533" s="4"/>
      <c r="B4533" s="4"/>
      <c r="C4533" s="5"/>
      <c r="D4533" s="4"/>
      <c r="E4533" s="4"/>
      <c r="F4533" s="4"/>
    </row>
    <row r="4534" spans="1:6" x14ac:dyDescent="0.4">
      <c r="A4534" s="4"/>
      <c r="B4534" s="4"/>
      <c r="C4534" s="5"/>
      <c r="D4534" s="4"/>
      <c r="E4534" s="4"/>
      <c r="F4534" s="4"/>
    </row>
    <row r="4535" spans="1:6" x14ac:dyDescent="0.4">
      <c r="A4535" s="4"/>
      <c r="B4535" s="4"/>
      <c r="C4535" s="5"/>
      <c r="D4535" s="4"/>
      <c r="E4535" s="4"/>
      <c r="F4535" s="4"/>
    </row>
    <row r="4536" spans="1:6" x14ac:dyDescent="0.4">
      <c r="A4536" s="4"/>
      <c r="B4536" s="4"/>
      <c r="C4536" s="5"/>
      <c r="D4536" s="4"/>
      <c r="E4536" s="4"/>
      <c r="F4536" s="4"/>
    </row>
    <row r="4537" spans="1:6" x14ac:dyDescent="0.4">
      <c r="A4537" s="4"/>
      <c r="B4537" s="4"/>
      <c r="C4537" s="5"/>
      <c r="D4537" s="4"/>
      <c r="E4537" s="4"/>
      <c r="F4537" s="4"/>
    </row>
    <row r="4538" spans="1:6" x14ac:dyDescent="0.4">
      <c r="A4538" s="4"/>
      <c r="B4538" s="4"/>
      <c r="C4538" s="5"/>
      <c r="D4538" s="4"/>
      <c r="E4538" s="4"/>
      <c r="F4538" s="4"/>
    </row>
    <row r="4539" spans="1:6" x14ac:dyDescent="0.4">
      <c r="A4539" s="4"/>
      <c r="B4539" s="4"/>
      <c r="C4539" s="5"/>
      <c r="D4539" s="4"/>
      <c r="E4539" s="4"/>
      <c r="F4539" s="4"/>
    </row>
    <row r="4540" spans="1:6" x14ac:dyDescent="0.4">
      <c r="A4540" s="4"/>
      <c r="B4540" s="4"/>
      <c r="C4540" s="5"/>
      <c r="D4540" s="4"/>
      <c r="E4540" s="4"/>
      <c r="F4540" s="4"/>
    </row>
    <row r="4541" spans="1:6" x14ac:dyDescent="0.4">
      <c r="A4541" s="4"/>
      <c r="B4541" s="4"/>
      <c r="C4541" s="5"/>
      <c r="D4541" s="4"/>
      <c r="E4541" s="4"/>
      <c r="F4541" s="4"/>
    </row>
    <row r="4542" spans="1:6" x14ac:dyDescent="0.4">
      <c r="A4542" s="4"/>
      <c r="B4542" s="4"/>
      <c r="C4542" s="5"/>
      <c r="D4542" s="4"/>
      <c r="E4542" s="4"/>
      <c r="F4542" s="4"/>
    </row>
    <row r="4543" spans="1:6" x14ac:dyDescent="0.4">
      <c r="A4543" s="4"/>
      <c r="B4543" s="4"/>
      <c r="C4543" s="5"/>
      <c r="D4543" s="4"/>
      <c r="E4543" s="4"/>
      <c r="F4543" s="4"/>
    </row>
    <row r="4544" spans="1:6" x14ac:dyDescent="0.4">
      <c r="A4544" s="4"/>
      <c r="B4544" s="4"/>
      <c r="C4544" s="5"/>
      <c r="D4544" s="4"/>
      <c r="E4544" s="4"/>
      <c r="F4544" s="4"/>
    </row>
    <row r="4545" spans="1:6" x14ac:dyDescent="0.4">
      <c r="A4545" s="4"/>
      <c r="B4545" s="4"/>
      <c r="C4545" s="5"/>
      <c r="D4545" s="4"/>
      <c r="E4545" s="4"/>
      <c r="F4545" s="4"/>
    </row>
    <row r="4546" spans="1:6" x14ac:dyDescent="0.4">
      <c r="A4546" s="4"/>
      <c r="B4546" s="4"/>
      <c r="C4546" s="5"/>
      <c r="D4546" s="4"/>
      <c r="E4546" s="4"/>
      <c r="F4546" s="4"/>
    </row>
    <row r="4547" spans="1:6" x14ac:dyDescent="0.4">
      <c r="A4547" s="4"/>
      <c r="B4547" s="4"/>
      <c r="C4547" s="5"/>
      <c r="D4547" s="4"/>
      <c r="E4547" s="4"/>
      <c r="F4547" s="4"/>
    </row>
    <row r="4548" spans="1:6" x14ac:dyDescent="0.4">
      <c r="A4548" s="4"/>
      <c r="B4548" s="4"/>
      <c r="C4548" s="5"/>
      <c r="D4548" s="4"/>
      <c r="E4548" s="4"/>
      <c r="F4548" s="4"/>
    </row>
    <row r="4549" spans="1:6" x14ac:dyDescent="0.4">
      <c r="A4549" s="4"/>
      <c r="B4549" s="4"/>
      <c r="C4549" s="5"/>
      <c r="D4549" s="4"/>
      <c r="E4549" s="4"/>
      <c r="F4549" s="4"/>
    </row>
    <row r="4550" spans="1:6" x14ac:dyDescent="0.4">
      <c r="A4550" s="4"/>
      <c r="B4550" s="4"/>
      <c r="C4550" s="5"/>
      <c r="D4550" s="4"/>
      <c r="E4550" s="4"/>
      <c r="F4550" s="4"/>
    </row>
    <row r="4551" spans="1:6" x14ac:dyDescent="0.4">
      <c r="A4551" s="4"/>
      <c r="B4551" s="4"/>
      <c r="C4551" s="5"/>
      <c r="D4551" s="4"/>
      <c r="E4551" s="4"/>
      <c r="F4551" s="4"/>
    </row>
    <row r="4552" spans="1:6" x14ac:dyDescent="0.4">
      <c r="A4552" s="4"/>
      <c r="B4552" s="4"/>
      <c r="C4552" s="5"/>
      <c r="D4552" s="4"/>
      <c r="E4552" s="4"/>
      <c r="F4552" s="4"/>
    </row>
    <row r="4553" spans="1:6" x14ac:dyDescent="0.4">
      <c r="A4553" s="4"/>
      <c r="B4553" s="4"/>
      <c r="C4553" s="5"/>
      <c r="D4553" s="4"/>
      <c r="E4553" s="4"/>
      <c r="F4553" s="4"/>
    </row>
    <row r="4554" spans="1:6" x14ac:dyDescent="0.4">
      <c r="A4554" s="4"/>
      <c r="B4554" s="4"/>
      <c r="C4554" s="5"/>
      <c r="D4554" s="4"/>
      <c r="E4554" s="4"/>
      <c r="F4554" s="4"/>
    </row>
    <row r="4555" spans="1:6" x14ac:dyDescent="0.4">
      <c r="A4555" s="4"/>
      <c r="B4555" s="4"/>
      <c r="C4555" s="5"/>
      <c r="D4555" s="4"/>
      <c r="E4555" s="4"/>
      <c r="F4555" s="4"/>
    </row>
    <row r="4556" spans="1:6" x14ac:dyDescent="0.4">
      <c r="A4556" s="4"/>
      <c r="B4556" s="4"/>
      <c r="C4556" s="5"/>
      <c r="D4556" s="4"/>
      <c r="E4556" s="4"/>
      <c r="F4556" s="4"/>
    </row>
    <row r="4557" spans="1:6" x14ac:dyDescent="0.4">
      <c r="A4557" s="4"/>
      <c r="B4557" s="4"/>
      <c r="C4557" s="5"/>
      <c r="D4557" s="4"/>
      <c r="E4557" s="4"/>
      <c r="F4557" s="4"/>
    </row>
    <row r="4558" spans="1:6" x14ac:dyDescent="0.4">
      <c r="A4558" s="4"/>
      <c r="B4558" s="4"/>
      <c r="C4558" s="5"/>
      <c r="D4558" s="4"/>
      <c r="E4558" s="4"/>
      <c r="F4558" s="4"/>
    </row>
    <row r="4559" spans="1:6" x14ac:dyDescent="0.4">
      <c r="A4559" s="4"/>
      <c r="B4559" s="4"/>
      <c r="C4559" s="5"/>
      <c r="D4559" s="4"/>
      <c r="E4559" s="4"/>
      <c r="F4559" s="4"/>
    </row>
    <row r="4560" spans="1:6" x14ac:dyDescent="0.4">
      <c r="A4560" s="4"/>
      <c r="B4560" s="4"/>
      <c r="C4560" s="5"/>
      <c r="D4560" s="4"/>
      <c r="E4560" s="4"/>
      <c r="F4560" s="4"/>
    </row>
    <row r="4561" spans="1:6" x14ac:dyDescent="0.4">
      <c r="A4561" s="4"/>
      <c r="B4561" s="4"/>
      <c r="C4561" s="5"/>
      <c r="D4561" s="4"/>
      <c r="E4561" s="4"/>
      <c r="F4561" s="4"/>
    </row>
    <row r="4562" spans="1:6" x14ac:dyDescent="0.4">
      <c r="A4562" s="4"/>
      <c r="B4562" s="4"/>
      <c r="C4562" s="5"/>
      <c r="D4562" s="4"/>
      <c r="E4562" s="4"/>
      <c r="F4562" s="4"/>
    </row>
    <row r="4563" spans="1:6" x14ac:dyDescent="0.4">
      <c r="A4563" s="4"/>
      <c r="B4563" s="4"/>
      <c r="C4563" s="5"/>
      <c r="D4563" s="4"/>
      <c r="E4563" s="4"/>
      <c r="F4563" s="4"/>
    </row>
    <row r="4564" spans="1:6" x14ac:dyDescent="0.4">
      <c r="A4564" s="4"/>
      <c r="B4564" s="4"/>
      <c r="C4564" s="5"/>
      <c r="D4564" s="4"/>
      <c r="E4564" s="4"/>
      <c r="F4564" s="4"/>
    </row>
    <row r="4565" spans="1:6" x14ac:dyDescent="0.4">
      <c r="A4565" s="4"/>
      <c r="B4565" s="4"/>
      <c r="C4565" s="5"/>
      <c r="D4565" s="4"/>
      <c r="E4565" s="4"/>
      <c r="F4565" s="4"/>
    </row>
    <row r="4566" spans="1:6" x14ac:dyDescent="0.4">
      <c r="A4566" s="4"/>
      <c r="B4566" s="4"/>
      <c r="C4566" s="5"/>
      <c r="D4566" s="4"/>
      <c r="E4566" s="4"/>
      <c r="F4566" s="4"/>
    </row>
    <row r="4567" spans="1:6" x14ac:dyDescent="0.4">
      <c r="A4567" s="4"/>
      <c r="B4567" s="4"/>
      <c r="C4567" s="5"/>
      <c r="D4567" s="4"/>
      <c r="E4567" s="4"/>
      <c r="F4567" s="4"/>
    </row>
    <row r="4568" spans="1:6" x14ac:dyDescent="0.4">
      <c r="A4568" s="4"/>
      <c r="B4568" s="4"/>
      <c r="C4568" s="5"/>
      <c r="D4568" s="4"/>
      <c r="E4568" s="4"/>
      <c r="F4568" s="4"/>
    </row>
    <row r="4569" spans="1:6" x14ac:dyDescent="0.4">
      <c r="A4569" s="4"/>
      <c r="B4569" s="4"/>
      <c r="C4569" s="5"/>
      <c r="D4569" s="4"/>
      <c r="E4569" s="4"/>
      <c r="F4569" s="4"/>
    </row>
    <row r="4570" spans="1:6" x14ac:dyDescent="0.4">
      <c r="A4570" s="4"/>
      <c r="B4570" s="4"/>
      <c r="C4570" s="5"/>
      <c r="D4570" s="4"/>
      <c r="E4570" s="4"/>
      <c r="F4570" s="4"/>
    </row>
    <row r="4571" spans="1:6" x14ac:dyDescent="0.4">
      <c r="A4571" s="4"/>
      <c r="B4571" s="4"/>
      <c r="C4571" s="5"/>
      <c r="D4571" s="4"/>
      <c r="E4571" s="4"/>
      <c r="F4571" s="4"/>
    </row>
    <row r="4572" spans="1:6" x14ac:dyDescent="0.4">
      <c r="A4572" s="4"/>
      <c r="B4572" s="4"/>
      <c r="C4572" s="5"/>
      <c r="D4572" s="4"/>
      <c r="E4572" s="4"/>
      <c r="F4572" s="4"/>
    </row>
    <row r="4573" spans="1:6" x14ac:dyDescent="0.4">
      <c r="A4573" s="4"/>
      <c r="B4573" s="4"/>
      <c r="C4573" s="5"/>
      <c r="D4573" s="4"/>
      <c r="E4573" s="4"/>
      <c r="F4573" s="4"/>
    </row>
    <row r="4574" spans="1:6" x14ac:dyDescent="0.4">
      <c r="A4574" s="4"/>
      <c r="B4574" s="4"/>
      <c r="C4574" s="5"/>
      <c r="D4574" s="4"/>
      <c r="E4574" s="4"/>
      <c r="F4574" s="4"/>
    </row>
    <row r="4575" spans="1:6" x14ac:dyDescent="0.4">
      <c r="A4575" s="4"/>
      <c r="B4575" s="4"/>
      <c r="C4575" s="5"/>
      <c r="D4575" s="4"/>
      <c r="E4575" s="4"/>
      <c r="F4575" s="4"/>
    </row>
    <row r="4576" spans="1:6" x14ac:dyDescent="0.4">
      <c r="A4576" s="4"/>
      <c r="B4576" s="4"/>
      <c r="C4576" s="5"/>
      <c r="D4576" s="4"/>
      <c r="E4576" s="4"/>
      <c r="F4576" s="4"/>
    </row>
    <row r="4577" spans="1:6" x14ac:dyDescent="0.4">
      <c r="A4577" s="4"/>
      <c r="B4577" s="4"/>
      <c r="C4577" s="5"/>
      <c r="D4577" s="4"/>
      <c r="E4577" s="4"/>
      <c r="F4577" s="4"/>
    </row>
    <row r="4578" spans="1:6" x14ac:dyDescent="0.4">
      <c r="A4578" s="4"/>
      <c r="B4578" s="4"/>
      <c r="C4578" s="5"/>
      <c r="D4578" s="4"/>
      <c r="E4578" s="4"/>
      <c r="F4578" s="4"/>
    </row>
    <row r="4579" spans="1:6" x14ac:dyDescent="0.4">
      <c r="A4579" s="4"/>
      <c r="B4579" s="4"/>
      <c r="C4579" s="5"/>
      <c r="D4579" s="4"/>
      <c r="E4579" s="4"/>
      <c r="F4579" s="4"/>
    </row>
    <row r="4580" spans="1:6" x14ac:dyDescent="0.4">
      <c r="A4580" s="4"/>
      <c r="B4580" s="4"/>
      <c r="C4580" s="5"/>
      <c r="D4580" s="4"/>
      <c r="E4580" s="4"/>
      <c r="F4580" s="4"/>
    </row>
    <row r="4581" spans="1:6" x14ac:dyDescent="0.4">
      <c r="A4581" s="4"/>
      <c r="B4581" s="4"/>
      <c r="C4581" s="5"/>
      <c r="D4581" s="4"/>
      <c r="E4581" s="4"/>
      <c r="F4581" s="4"/>
    </row>
    <row r="4582" spans="1:6" x14ac:dyDescent="0.4">
      <c r="A4582" s="4"/>
      <c r="B4582" s="4"/>
      <c r="C4582" s="5"/>
      <c r="D4582" s="4"/>
      <c r="E4582" s="4"/>
      <c r="F4582" s="4"/>
    </row>
    <row r="4583" spans="1:6" x14ac:dyDescent="0.4">
      <c r="A4583" s="4"/>
      <c r="B4583" s="4"/>
      <c r="C4583" s="5"/>
      <c r="D4583" s="4"/>
      <c r="E4583" s="4"/>
      <c r="F4583" s="4"/>
    </row>
    <row r="4584" spans="1:6" x14ac:dyDescent="0.4">
      <c r="A4584" s="4"/>
      <c r="B4584" s="4"/>
      <c r="C4584" s="5"/>
      <c r="D4584" s="4"/>
      <c r="E4584" s="4"/>
      <c r="F4584" s="4"/>
    </row>
    <row r="4585" spans="1:6" x14ac:dyDescent="0.4">
      <c r="A4585" s="4"/>
      <c r="B4585" s="4"/>
      <c r="C4585" s="5"/>
      <c r="D4585" s="4"/>
      <c r="E4585" s="4"/>
      <c r="F4585" s="4"/>
    </row>
    <row r="4586" spans="1:6" x14ac:dyDescent="0.4">
      <c r="A4586" s="4"/>
      <c r="B4586" s="4"/>
      <c r="C4586" s="5"/>
      <c r="D4586" s="4"/>
      <c r="E4586" s="4"/>
      <c r="F4586" s="4"/>
    </row>
    <row r="4587" spans="1:6" x14ac:dyDescent="0.4">
      <c r="A4587" s="4"/>
      <c r="B4587" s="4"/>
      <c r="C4587" s="5"/>
      <c r="D4587" s="4"/>
      <c r="E4587" s="4"/>
      <c r="F4587" s="4"/>
    </row>
    <row r="4588" spans="1:6" x14ac:dyDescent="0.4">
      <c r="A4588" s="4"/>
      <c r="B4588" s="4"/>
      <c r="C4588" s="5"/>
      <c r="D4588" s="4"/>
      <c r="E4588" s="4"/>
      <c r="F4588" s="4"/>
    </row>
    <row r="4589" spans="1:6" x14ac:dyDescent="0.4">
      <c r="A4589" s="4"/>
      <c r="B4589" s="4"/>
      <c r="C4589" s="5"/>
      <c r="D4589" s="4"/>
      <c r="E4589" s="4"/>
      <c r="F4589" s="4"/>
    </row>
    <row r="4590" spans="1:6" x14ac:dyDescent="0.4">
      <c r="A4590" s="4"/>
      <c r="B4590" s="4"/>
      <c r="C4590" s="5"/>
      <c r="D4590" s="4"/>
      <c r="E4590" s="4"/>
      <c r="F4590" s="4"/>
    </row>
    <row r="4591" spans="1:6" x14ac:dyDescent="0.4">
      <c r="A4591" s="4"/>
      <c r="B4591" s="4"/>
      <c r="C4591" s="5"/>
      <c r="D4591" s="4"/>
      <c r="E4591" s="4"/>
      <c r="F4591" s="4"/>
    </row>
    <row r="4592" spans="1:6" x14ac:dyDescent="0.4">
      <c r="A4592" s="4"/>
      <c r="B4592" s="4"/>
      <c r="C4592" s="5"/>
      <c r="D4592" s="4"/>
      <c r="E4592" s="4"/>
      <c r="F4592" s="4"/>
    </row>
    <row r="4593" spans="1:6" x14ac:dyDescent="0.4">
      <c r="A4593" s="4"/>
      <c r="B4593" s="4"/>
      <c r="C4593" s="5"/>
      <c r="D4593" s="4"/>
      <c r="E4593" s="4"/>
      <c r="F4593" s="4"/>
    </row>
    <row r="4594" spans="1:6" x14ac:dyDescent="0.4">
      <c r="A4594" s="4"/>
      <c r="B4594" s="4"/>
      <c r="C4594" s="5"/>
      <c r="D4594" s="4"/>
      <c r="E4594" s="4"/>
      <c r="F4594" s="4"/>
    </row>
    <row r="4595" spans="1:6" x14ac:dyDescent="0.4">
      <c r="A4595" s="4"/>
      <c r="B4595" s="4"/>
      <c r="C4595" s="5"/>
      <c r="D4595" s="4"/>
      <c r="E4595" s="4"/>
      <c r="F4595" s="4"/>
    </row>
    <row r="4596" spans="1:6" x14ac:dyDescent="0.4">
      <c r="A4596" s="4"/>
      <c r="B4596" s="4"/>
      <c r="C4596" s="5"/>
      <c r="D4596" s="4"/>
      <c r="E4596" s="4"/>
      <c r="F4596" s="4"/>
    </row>
    <row r="4597" spans="1:6" x14ac:dyDescent="0.4">
      <c r="A4597" s="4"/>
      <c r="B4597" s="4"/>
      <c r="C4597" s="5"/>
      <c r="D4597" s="4"/>
      <c r="E4597" s="4"/>
      <c r="F4597" s="4"/>
    </row>
    <row r="4598" spans="1:6" x14ac:dyDescent="0.4">
      <c r="A4598" s="4"/>
      <c r="B4598" s="4"/>
      <c r="C4598" s="5"/>
      <c r="D4598" s="4"/>
      <c r="E4598" s="4"/>
      <c r="F4598" s="4"/>
    </row>
    <row r="4599" spans="1:6" x14ac:dyDescent="0.4">
      <c r="A4599" s="4"/>
      <c r="B4599" s="4"/>
      <c r="C4599" s="5"/>
      <c r="D4599" s="4"/>
      <c r="E4599" s="4"/>
      <c r="F4599" s="4"/>
    </row>
    <row r="4600" spans="1:6" x14ac:dyDescent="0.4">
      <c r="A4600" s="4"/>
      <c r="B4600" s="4"/>
      <c r="C4600" s="5"/>
      <c r="D4600" s="4"/>
      <c r="E4600" s="4"/>
      <c r="F4600" s="4"/>
    </row>
    <row r="4601" spans="1:6" x14ac:dyDescent="0.4">
      <c r="A4601" s="4"/>
      <c r="B4601" s="4"/>
      <c r="C4601" s="5"/>
      <c r="D4601" s="4"/>
      <c r="E4601" s="4"/>
      <c r="F4601" s="4"/>
    </row>
    <row r="4602" spans="1:6" x14ac:dyDescent="0.4">
      <c r="A4602" s="4"/>
      <c r="B4602" s="4"/>
      <c r="C4602" s="5"/>
      <c r="D4602" s="4"/>
      <c r="E4602" s="4"/>
      <c r="F4602" s="4"/>
    </row>
    <row r="4603" spans="1:6" x14ac:dyDescent="0.4">
      <c r="A4603" s="4"/>
      <c r="B4603" s="4"/>
      <c r="C4603" s="5"/>
      <c r="D4603" s="4"/>
      <c r="E4603" s="4"/>
      <c r="F4603" s="4"/>
    </row>
    <row r="4604" spans="1:6" x14ac:dyDescent="0.4">
      <c r="A4604" s="4"/>
      <c r="B4604" s="4"/>
      <c r="C4604" s="5"/>
      <c r="D4604" s="4"/>
      <c r="E4604" s="4"/>
      <c r="F4604" s="4"/>
    </row>
    <row r="4605" spans="1:6" x14ac:dyDescent="0.4">
      <c r="A4605" s="4"/>
      <c r="B4605" s="4"/>
      <c r="C4605" s="5"/>
      <c r="D4605" s="4"/>
      <c r="E4605" s="4"/>
      <c r="F4605" s="4"/>
    </row>
    <row r="4606" spans="1:6" x14ac:dyDescent="0.4">
      <c r="A4606" s="4"/>
      <c r="B4606" s="4"/>
      <c r="C4606" s="5"/>
      <c r="D4606" s="4"/>
      <c r="E4606" s="4"/>
      <c r="F4606" s="4"/>
    </row>
    <row r="4607" spans="1:6" x14ac:dyDescent="0.4">
      <c r="A4607" s="4"/>
      <c r="B4607" s="4"/>
      <c r="C4607" s="5"/>
      <c r="D4607" s="4"/>
      <c r="E4607" s="4"/>
      <c r="F4607" s="4"/>
    </row>
    <row r="4608" spans="1:6" x14ac:dyDescent="0.4">
      <c r="A4608" s="4"/>
      <c r="B4608" s="4"/>
      <c r="C4608" s="5"/>
      <c r="D4608" s="4"/>
      <c r="E4608" s="4"/>
      <c r="F4608" s="4"/>
    </row>
    <row r="4609" spans="1:6" x14ac:dyDescent="0.4">
      <c r="A4609" s="4"/>
      <c r="B4609" s="4"/>
      <c r="C4609" s="5"/>
      <c r="D4609" s="4"/>
      <c r="E4609" s="4"/>
      <c r="F4609" s="4"/>
    </row>
    <row r="4610" spans="1:6" x14ac:dyDescent="0.4">
      <c r="A4610" s="4"/>
      <c r="B4610" s="4"/>
      <c r="C4610" s="5"/>
      <c r="D4610" s="4"/>
      <c r="E4610" s="4"/>
      <c r="F4610" s="4"/>
    </row>
    <row r="4611" spans="1:6" x14ac:dyDescent="0.4">
      <c r="A4611" s="4"/>
      <c r="B4611" s="4"/>
      <c r="C4611" s="5"/>
      <c r="D4611" s="4"/>
      <c r="E4611" s="4"/>
      <c r="F4611" s="4"/>
    </row>
    <row r="4612" spans="1:6" x14ac:dyDescent="0.4">
      <c r="A4612" s="4"/>
      <c r="B4612" s="4"/>
      <c r="C4612" s="5"/>
      <c r="D4612" s="4"/>
      <c r="E4612" s="4"/>
      <c r="F4612" s="4"/>
    </row>
    <row r="4613" spans="1:6" x14ac:dyDescent="0.4">
      <c r="A4613" s="4"/>
      <c r="B4613" s="4"/>
      <c r="C4613" s="5"/>
      <c r="D4613" s="4"/>
      <c r="E4613" s="4"/>
      <c r="F4613" s="4"/>
    </row>
    <row r="4614" spans="1:6" x14ac:dyDescent="0.4">
      <c r="A4614" s="4"/>
      <c r="B4614" s="4"/>
      <c r="C4614" s="5"/>
      <c r="D4614" s="4"/>
      <c r="E4614" s="4"/>
      <c r="F4614" s="4"/>
    </row>
    <row r="4615" spans="1:6" x14ac:dyDescent="0.4">
      <c r="A4615" s="4"/>
      <c r="B4615" s="4"/>
      <c r="C4615" s="5"/>
      <c r="D4615" s="4"/>
      <c r="E4615" s="4"/>
      <c r="F4615" s="4"/>
    </row>
    <row r="4616" spans="1:6" x14ac:dyDescent="0.4">
      <c r="A4616" s="4"/>
      <c r="B4616" s="4"/>
      <c r="C4616" s="5"/>
      <c r="D4616" s="4"/>
      <c r="E4616" s="4"/>
      <c r="F4616" s="4"/>
    </row>
    <row r="4617" spans="1:6" x14ac:dyDescent="0.4">
      <c r="A4617" s="4"/>
      <c r="B4617" s="4"/>
      <c r="C4617" s="5"/>
      <c r="D4617" s="4"/>
      <c r="E4617" s="4"/>
      <c r="F4617" s="4"/>
    </row>
    <row r="4618" spans="1:6" x14ac:dyDescent="0.4">
      <c r="A4618" s="4"/>
      <c r="B4618" s="4"/>
      <c r="C4618" s="5"/>
      <c r="D4618" s="4"/>
      <c r="E4618" s="4"/>
      <c r="F4618" s="4"/>
    </row>
    <row r="4619" spans="1:6" x14ac:dyDescent="0.4">
      <c r="A4619" s="4"/>
      <c r="B4619" s="4"/>
      <c r="C4619" s="5"/>
      <c r="D4619" s="4"/>
      <c r="E4619" s="4"/>
      <c r="F4619" s="4"/>
    </row>
    <row r="4620" spans="1:6" x14ac:dyDescent="0.4">
      <c r="A4620" s="4"/>
      <c r="B4620" s="4"/>
      <c r="C4620" s="5"/>
      <c r="D4620" s="4"/>
      <c r="E4620" s="4"/>
      <c r="F4620" s="4"/>
    </row>
    <row r="4621" spans="1:6" x14ac:dyDescent="0.4">
      <c r="A4621" s="4"/>
      <c r="B4621" s="4"/>
      <c r="C4621" s="5"/>
      <c r="D4621" s="4"/>
      <c r="E4621" s="4"/>
      <c r="F4621" s="4"/>
    </row>
    <row r="4622" spans="1:6" x14ac:dyDescent="0.4">
      <c r="A4622" s="4"/>
      <c r="B4622" s="4"/>
      <c r="C4622" s="5"/>
      <c r="D4622" s="4"/>
      <c r="E4622" s="4"/>
      <c r="F4622" s="4"/>
    </row>
    <row r="4623" spans="1:6" x14ac:dyDescent="0.4">
      <c r="A4623" s="4"/>
      <c r="B4623" s="4"/>
      <c r="C4623" s="5"/>
      <c r="D4623" s="4"/>
      <c r="E4623" s="4"/>
      <c r="F4623" s="4"/>
    </row>
    <row r="4624" spans="1:6" x14ac:dyDescent="0.4">
      <c r="A4624" s="4"/>
      <c r="B4624" s="4"/>
      <c r="C4624" s="5"/>
      <c r="D4624" s="4"/>
      <c r="E4624" s="4"/>
      <c r="F4624" s="4"/>
    </row>
    <row r="4625" spans="1:6" x14ac:dyDescent="0.4">
      <c r="A4625" s="4"/>
      <c r="B4625" s="4"/>
      <c r="C4625" s="5"/>
      <c r="D4625" s="4"/>
      <c r="E4625" s="4"/>
      <c r="F4625" s="4"/>
    </row>
    <row r="4626" spans="1:6" x14ac:dyDescent="0.4">
      <c r="A4626" s="4"/>
      <c r="B4626" s="4"/>
      <c r="C4626" s="5"/>
      <c r="D4626" s="4"/>
      <c r="E4626" s="4"/>
      <c r="F4626" s="4"/>
    </row>
    <row r="4627" spans="1:6" x14ac:dyDescent="0.4">
      <c r="A4627" s="4"/>
      <c r="B4627" s="4"/>
      <c r="C4627" s="5"/>
      <c r="D4627" s="4"/>
      <c r="E4627" s="4"/>
      <c r="F4627" s="4"/>
    </row>
    <row r="4628" spans="1:6" x14ac:dyDescent="0.4">
      <c r="A4628" s="4"/>
      <c r="B4628" s="4"/>
      <c r="C4628" s="5"/>
      <c r="D4628" s="4"/>
      <c r="E4628" s="4"/>
      <c r="F4628" s="4"/>
    </row>
    <row r="4629" spans="1:6" x14ac:dyDescent="0.4">
      <c r="A4629" s="4"/>
      <c r="B4629" s="4"/>
      <c r="C4629" s="5"/>
      <c r="D4629" s="4"/>
      <c r="E4629" s="4"/>
      <c r="F4629" s="4"/>
    </row>
    <row r="4630" spans="1:6" x14ac:dyDescent="0.4">
      <c r="A4630" s="4"/>
      <c r="B4630" s="4"/>
      <c r="C4630" s="5"/>
      <c r="D4630" s="4"/>
      <c r="E4630" s="4"/>
      <c r="F4630" s="4"/>
    </row>
    <row r="4631" spans="1:6" x14ac:dyDescent="0.4">
      <c r="A4631" s="4"/>
      <c r="B4631" s="4"/>
      <c r="C4631" s="5"/>
      <c r="D4631" s="4"/>
      <c r="E4631" s="4"/>
      <c r="F4631" s="4"/>
    </row>
    <row r="4632" spans="1:6" x14ac:dyDescent="0.4">
      <c r="A4632" s="4"/>
      <c r="B4632" s="4"/>
      <c r="C4632" s="5"/>
      <c r="D4632" s="4"/>
      <c r="E4632" s="4"/>
      <c r="F4632" s="4"/>
    </row>
    <row r="4633" spans="1:6" x14ac:dyDescent="0.4">
      <c r="A4633" s="4"/>
      <c r="B4633" s="4"/>
      <c r="C4633" s="5"/>
      <c r="D4633" s="4"/>
      <c r="E4633" s="4"/>
      <c r="F4633" s="4"/>
    </row>
    <row r="4634" spans="1:6" x14ac:dyDescent="0.4">
      <c r="A4634" s="4"/>
      <c r="B4634" s="4"/>
      <c r="C4634" s="5"/>
      <c r="D4634" s="4"/>
      <c r="E4634" s="4"/>
      <c r="F4634" s="4"/>
    </row>
    <row r="4635" spans="1:6" x14ac:dyDescent="0.4">
      <c r="A4635" s="4"/>
      <c r="B4635" s="4"/>
      <c r="C4635" s="5"/>
      <c r="D4635" s="4"/>
      <c r="E4635" s="4"/>
      <c r="F4635" s="4"/>
    </row>
    <row r="4636" spans="1:6" x14ac:dyDescent="0.4">
      <c r="A4636" s="4"/>
      <c r="B4636" s="4"/>
      <c r="C4636" s="5"/>
      <c r="D4636" s="4"/>
      <c r="E4636" s="4"/>
      <c r="F4636" s="4"/>
    </row>
    <row r="4637" spans="1:6" x14ac:dyDescent="0.4">
      <c r="A4637" s="4"/>
      <c r="B4637" s="4"/>
      <c r="C4637" s="5"/>
      <c r="D4637" s="4"/>
      <c r="E4637" s="4"/>
      <c r="F4637" s="4"/>
    </row>
    <row r="4638" spans="1:6" x14ac:dyDescent="0.4">
      <c r="A4638" s="4"/>
      <c r="B4638" s="4"/>
      <c r="C4638" s="5"/>
      <c r="D4638" s="4"/>
      <c r="E4638" s="4"/>
      <c r="F4638" s="4"/>
    </row>
    <row r="4639" spans="1:6" x14ac:dyDescent="0.4">
      <c r="A4639" s="4"/>
      <c r="B4639" s="4"/>
      <c r="C4639" s="5"/>
      <c r="D4639" s="4"/>
      <c r="E4639" s="4"/>
      <c r="F4639" s="4"/>
    </row>
    <row r="4640" spans="1:6" x14ac:dyDescent="0.4">
      <c r="A4640" s="4"/>
      <c r="B4640" s="4"/>
      <c r="C4640" s="5"/>
      <c r="D4640" s="4"/>
      <c r="E4640" s="4"/>
      <c r="F4640" s="4"/>
    </row>
    <row r="4641" spans="1:6" x14ac:dyDescent="0.4">
      <c r="A4641" s="4"/>
      <c r="B4641" s="4"/>
      <c r="C4641" s="5"/>
      <c r="D4641" s="4"/>
      <c r="E4641" s="4"/>
      <c r="F4641" s="4"/>
    </row>
    <row r="4642" spans="1:6" x14ac:dyDescent="0.4">
      <c r="A4642" s="4"/>
      <c r="B4642" s="4"/>
      <c r="C4642" s="5"/>
      <c r="D4642" s="4"/>
      <c r="E4642" s="4"/>
      <c r="F4642" s="4"/>
    </row>
    <row r="4643" spans="1:6" x14ac:dyDescent="0.4">
      <c r="A4643" s="4"/>
      <c r="B4643" s="4"/>
      <c r="C4643" s="5"/>
      <c r="D4643" s="4"/>
      <c r="E4643" s="4"/>
      <c r="F4643" s="4"/>
    </row>
    <row r="4644" spans="1:6" x14ac:dyDescent="0.4">
      <c r="A4644" s="4"/>
      <c r="B4644" s="4"/>
      <c r="C4644" s="5"/>
      <c r="D4644" s="4"/>
      <c r="E4644" s="4"/>
      <c r="F4644" s="4"/>
    </row>
    <row r="4645" spans="1:6" x14ac:dyDescent="0.4">
      <c r="A4645" s="4"/>
      <c r="B4645" s="4"/>
      <c r="C4645" s="5"/>
      <c r="D4645" s="4"/>
      <c r="E4645" s="4"/>
      <c r="F4645" s="4"/>
    </row>
    <row r="4646" spans="1:6" x14ac:dyDescent="0.4">
      <c r="A4646" s="4"/>
      <c r="B4646" s="4"/>
      <c r="C4646" s="5"/>
      <c r="D4646" s="4"/>
      <c r="E4646" s="4"/>
      <c r="F4646" s="4"/>
    </row>
    <row r="4647" spans="1:6" x14ac:dyDescent="0.4">
      <c r="A4647" s="4"/>
      <c r="B4647" s="4"/>
      <c r="C4647" s="5"/>
      <c r="D4647" s="4"/>
      <c r="E4647" s="4"/>
      <c r="F4647" s="4"/>
    </row>
    <row r="4648" spans="1:6" x14ac:dyDescent="0.4">
      <c r="A4648" s="4"/>
      <c r="B4648" s="4"/>
      <c r="C4648" s="5"/>
      <c r="D4648" s="4"/>
      <c r="E4648" s="4"/>
      <c r="F4648" s="4"/>
    </row>
    <row r="4649" spans="1:6" x14ac:dyDescent="0.4">
      <c r="A4649" s="4"/>
      <c r="B4649" s="4"/>
      <c r="C4649" s="5"/>
      <c r="D4649" s="4"/>
      <c r="E4649" s="4"/>
      <c r="F4649" s="4"/>
    </row>
    <row r="4650" spans="1:6" x14ac:dyDescent="0.4">
      <c r="A4650" s="4"/>
      <c r="B4650" s="4"/>
      <c r="C4650" s="5"/>
      <c r="D4650" s="4"/>
      <c r="E4650" s="4"/>
      <c r="F4650" s="4"/>
    </row>
    <row r="4651" spans="1:6" x14ac:dyDescent="0.4">
      <c r="A4651" s="4"/>
      <c r="B4651" s="4"/>
      <c r="C4651" s="5"/>
      <c r="D4651" s="4"/>
      <c r="E4651" s="4"/>
      <c r="F4651" s="4"/>
    </row>
    <row r="4652" spans="1:6" x14ac:dyDescent="0.4">
      <c r="A4652" s="4"/>
      <c r="B4652" s="4"/>
      <c r="C4652" s="5"/>
      <c r="D4652" s="4"/>
      <c r="E4652" s="4"/>
      <c r="F4652" s="4"/>
    </row>
    <row r="4653" spans="1:6" x14ac:dyDescent="0.4">
      <c r="A4653" s="4"/>
      <c r="B4653" s="4"/>
      <c r="C4653" s="5"/>
      <c r="D4653" s="4"/>
      <c r="E4653" s="4"/>
      <c r="F4653" s="4"/>
    </row>
    <row r="4654" spans="1:6" x14ac:dyDescent="0.4">
      <c r="A4654" s="4"/>
      <c r="B4654" s="4"/>
      <c r="C4654" s="5"/>
      <c r="D4654" s="4"/>
      <c r="E4654" s="4"/>
      <c r="F4654" s="4"/>
    </row>
    <row r="4655" spans="1:6" x14ac:dyDescent="0.4">
      <c r="A4655" s="4"/>
      <c r="B4655" s="4"/>
      <c r="C4655" s="5"/>
      <c r="D4655" s="4"/>
      <c r="E4655" s="4"/>
      <c r="F4655" s="4"/>
    </row>
    <row r="4656" spans="1:6" x14ac:dyDescent="0.4">
      <c r="A4656" s="4"/>
      <c r="B4656" s="4"/>
      <c r="C4656" s="5"/>
      <c r="D4656" s="4"/>
      <c r="E4656" s="4"/>
      <c r="F4656" s="4"/>
    </row>
    <row r="4657" spans="1:6" x14ac:dyDescent="0.4">
      <c r="A4657" s="4"/>
      <c r="B4657" s="4"/>
      <c r="C4657" s="5"/>
      <c r="D4657" s="4"/>
      <c r="E4657" s="4"/>
      <c r="F4657" s="4"/>
    </row>
    <row r="4658" spans="1:6" x14ac:dyDescent="0.4">
      <c r="A4658" s="4"/>
      <c r="B4658" s="4"/>
      <c r="C4658" s="5"/>
      <c r="D4658" s="4"/>
      <c r="E4658" s="4"/>
      <c r="F4658" s="4"/>
    </row>
    <row r="4659" spans="1:6" x14ac:dyDescent="0.4">
      <c r="A4659" s="4"/>
      <c r="B4659" s="4"/>
      <c r="C4659" s="5"/>
      <c r="D4659" s="4"/>
      <c r="E4659" s="4"/>
      <c r="F4659" s="4"/>
    </row>
    <row r="4660" spans="1:6" x14ac:dyDescent="0.4">
      <c r="A4660" s="4"/>
      <c r="B4660" s="4"/>
      <c r="C4660" s="5"/>
      <c r="D4660" s="4"/>
      <c r="E4660" s="4"/>
      <c r="F4660" s="4"/>
    </row>
    <row r="4661" spans="1:6" x14ac:dyDescent="0.4">
      <c r="A4661" s="4"/>
      <c r="B4661" s="4"/>
      <c r="C4661" s="5"/>
      <c r="D4661" s="4"/>
      <c r="E4661" s="4"/>
      <c r="F4661" s="4"/>
    </row>
    <row r="4662" spans="1:6" x14ac:dyDescent="0.4">
      <c r="A4662" s="4"/>
      <c r="B4662" s="4"/>
      <c r="C4662" s="5"/>
      <c r="D4662" s="4"/>
      <c r="E4662" s="4"/>
      <c r="F4662" s="4"/>
    </row>
    <row r="4663" spans="1:6" x14ac:dyDescent="0.4">
      <c r="A4663" s="4"/>
      <c r="B4663" s="4"/>
      <c r="C4663" s="5"/>
      <c r="D4663" s="4"/>
      <c r="E4663" s="4"/>
      <c r="F4663" s="4"/>
    </row>
    <row r="4664" spans="1:6" x14ac:dyDescent="0.4">
      <c r="A4664" s="4"/>
      <c r="B4664" s="4"/>
      <c r="C4664" s="5"/>
      <c r="D4664" s="4"/>
      <c r="E4664" s="4"/>
      <c r="F4664" s="4"/>
    </row>
    <row r="4665" spans="1:6" x14ac:dyDescent="0.4">
      <c r="A4665" s="4"/>
      <c r="B4665" s="4"/>
      <c r="C4665" s="5"/>
      <c r="D4665" s="4"/>
      <c r="E4665" s="4"/>
      <c r="F4665" s="4"/>
    </row>
    <row r="4666" spans="1:6" x14ac:dyDescent="0.4">
      <c r="A4666" s="4"/>
      <c r="B4666" s="4"/>
      <c r="C4666" s="5"/>
      <c r="D4666" s="4"/>
      <c r="E4666" s="4"/>
      <c r="F4666" s="4"/>
    </row>
    <row r="4667" spans="1:6" x14ac:dyDescent="0.4">
      <c r="A4667" s="4"/>
      <c r="B4667" s="4"/>
      <c r="C4667" s="5"/>
      <c r="D4667" s="4"/>
      <c r="E4667" s="4"/>
      <c r="F4667" s="4"/>
    </row>
    <row r="4668" spans="1:6" x14ac:dyDescent="0.4">
      <c r="A4668" s="4"/>
      <c r="B4668" s="4"/>
      <c r="C4668" s="5"/>
      <c r="D4668" s="4"/>
      <c r="E4668" s="4"/>
      <c r="F4668" s="4"/>
    </row>
    <row r="4669" spans="1:6" x14ac:dyDescent="0.4">
      <c r="A4669" s="4"/>
      <c r="B4669" s="4"/>
      <c r="C4669" s="5"/>
      <c r="D4669" s="4"/>
      <c r="E4669" s="4"/>
      <c r="F4669" s="4"/>
    </row>
    <row r="4670" spans="1:6" x14ac:dyDescent="0.4">
      <c r="A4670" s="4"/>
      <c r="B4670" s="4"/>
      <c r="C4670" s="5"/>
      <c r="D4670" s="4"/>
      <c r="E4670" s="4"/>
      <c r="F4670" s="4"/>
    </row>
    <row r="4671" spans="1:6" x14ac:dyDescent="0.4">
      <c r="A4671" s="4"/>
      <c r="B4671" s="4"/>
      <c r="C4671" s="5"/>
      <c r="D4671" s="4"/>
      <c r="E4671" s="4"/>
      <c r="F4671" s="4"/>
    </row>
    <row r="4672" spans="1:6" x14ac:dyDescent="0.4">
      <c r="A4672" s="4"/>
      <c r="B4672" s="4"/>
      <c r="C4672" s="5"/>
      <c r="D4672" s="4"/>
      <c r="E4672" s="4"/>
      <c r="F4672" s="4"/>
    </row>
    <row r="4673" spans="1:6" x14ac:dyDescent="0.4">
      <c r="A4673" s="4"/>
      <c r="B4673" s="4"/>
      <c r="C4673" s="5"/>
      <c r="D4673" s="4"/>
      <c r="E4673" s="4"/>
      <c r="F4673" s="4"/>
    </row>
    <row r="4674" spans="1:6" x14ac:dyDescent="0.4">
      <c r="A4674" s="4"/>
      <c r="B4674" s="4"/>
      <c r="C4674" s="5"/>
      <c r="D4674" s="4"/>
      <c r="E4674" s="4"/>
      <c r="F4674" s="4"/>
    </row>
    <row r="4675" spans="1:6" x14ac:dyDescent="0.4">
      <c r="A4675" s="4"/>
      <c r="B4675" s="4"/>
      <c r="C4675" s="5"/>
      <c r="D4675" s="4"/>
      <c r="E4675" s="4"/>
      <c r="F4675" s="4"/>
    </row>
    <row r="4676" spans="1:6" x14ac:dyDescent="0.4">
      <c r="A4676" s="4"/>
      <c r="B4676" s="4"/>
      <c r="C4676" s="5"/>
      <c r="D4676" s="4"/>
      <c r="E4676" s="4"/>
      <c r="F4676" s="4"/>
    </row>
    <row r="4677" spans="1:6" x14ac:dyDescent="0.4">
      <c r="A4677" s="4"/>
      <c r="B4677" s="4"/>
      <c r="C4677" s="5"/>
      <c r="D4677" s="4"/>
      <c r="E4677" s="4"/>
      <c r="F4677" s="4"/>
    </row>
    <row r="4678" spans="1:6" x14ac:dyDescent="0.4">
      <c r="A4678" s="4"/>
      <c r="B4678" s="4"/>
      <c r="C4678" s="5"/>
      <c r="D4678" s="4"/>
      <c r="E4678" s="4"/>
      <c r="F4678" s="4"/>
    </row>
    <row r="4679" spans="1:6" x14ac:dyDescent="0.4">
      <c r="A4679" s="4"/>
      <c r="B4679" s="4"/>
      <c r="C4679" s="5"/>
      <c r="D4679" s="4"/>
      <c r="E4679" s="4"/>
      <c r="F4679" s="4"/>
    </row>
    <row r="4680" spans="1:6" x14ac:dyDescent="0.4">
      <c r="A4680" s="4"/>
      <c r="B4680" s="4"/>
      <c r="C4680" s="5"/>
      <c r="D4680" s="4"/>
      <c r="E4680" s="4"/>
      <c r="F4680" s="4"/>
    </row>
    <row r="4681" spans="1:6" x14ac:dyDescent="0.4">
      <c r="A4681" s="4"/>
      <c r="B4681" s="4"/>
      <c r="C4681" s="5"/>
      <c r="D4681" s="4"/>
      <c r="E4681" s="4"/>
      <c r="F4681" s="4"/>
    </row>
    <row r="4682" spans="1:6" x14ac:dyDescent="0.4">
      <c r="A4682" s="4"/>
      <c r="B4682" s="4"/>
      <c r="C4682" s="5"/>
      <c r="D4682" s="4"/>
      <c r="E4682" s="4"/>
      <c r="F4682" s="4"/>
    </row>
    <row r="4683" spans="1:6" x14ac:dyDescent="0.4">
      <c r="A4683" s="4"/>
      <c r="B4683" s="4"/>
      <c r="C4683" s="5"/>
      <c r="D4683" s="4"/>
      <c r="E4683" s="4"/>
      <c r="F4683" s="4"/>
    </row>
    <row r="4684" spans="1:6" x14ac:dyDescent="0.4">
      <c r="A4684" s="4"/>
      <c r="B4684" s="4"/>
      <c r="C4684" s="5"/>
      <c r="D4684" s="4"/>
      <c r="E4684" s="4"/>
      <c r="F4684" s="4"/>
    </row>
    <row r="4685" spans="1:6" x14ac:dyDescent="0.4">
      <c r="A4685" s="4"/>
      <c r="B4685" s="4"/>
      <c r="C4685" s="5"/>
      <c r="D4685" s="4"/>
      <c r="E4685" s="4"/>
      <c r="F4685" s="4"/>
    </row>
    <row r="4686" spans="1:6" x14ac:dyDescent="0.4">
      <c r="A4686" s="4"/>
      <c r="B4686" s="4"/>
      <c r="C4686" s="5"/>
      <c r="D4686" s="4"/>
      <c r="E4686" s="4"/>
      <c r="F4686" s="4"/>
    </row>
    <row r="4687" spans="1:6" x14ac:dyDescent="0.4">
      <c r="A4687" s="4"/>
      <c r="B4687" s="4"/>
      <c r="C4687" s="5"/>
      <c r="D4687" s="4"/>
      <c r="E4687" s="4"/>
      <c r="F4687" s="4"/>
    </row>
    <row r="4688" spans="1:6" x14ac:dyDescent="0.4">
      <c r="A4688" s="4"/>
      <c r="B4688" s="4"/>
      <c r="C4688" s="5"/>
      <c r="D4688" s="4"/>
      <c r="E4688" s="4"/>
      <c r="F4688" s="4"/>
    </row>
    <row r="4689" spans="1:6" x14ac:dyDescent="0.4">
      <c r="A4689" s="4"/>
      <c r="B4689" s="4"/>
      <c r="C4689" s="5"/>
      <c r="D4689" s="4"/>
      <c r="E4689" s="4"/>
      <c r="F4689" s="4"/>
    </row>
    <row r="4690" spans="1:6" x14ac:dyDescent="0.4">
      <c r="A4690" s="4"/>
      <c r="B4690" s="4"/>
      <c r="C4690" s="5"/>
      <c r="D4690" s="4"/>
      <c r="E4690" s="4"/>
      <c r="F4690" s="4"/>
    </row>
    <row r="4691" spans="1:6" x14ac:dyDescent="0.4">
      <c r="A4691" s="4"/>
      <c r="B4691" s="4"/>
      <c r="C4691" s="5"/>
      <c r="D4691" s="4"/>
      <c r="E4691" s="4"/>
      <c r="F4691" s="4"/>
    </row>
    <row r="4692" spans="1:6" x14ac:dyDescent="0.4">
      <c r="A4692" s="4"/>
      <c r="B4692" s="4"/>
      <c r="C4692" s="5"/>
      <c r="D4692" s="4"/>
      <c r="E4692" s="4"/>
      <c r="F4692" s="4"/>
    </row>
    <row r="4693" spans="1:6" x14ac:dyDescent="0.4">
      <c r="A4693" s="4"/>
      <c r="B4693" s="4"/>
      <c r="C4693" s="5"/>
      <c r="D4693" s="4"/>
      <c r="E4693" s="4"/>
      <c r="F4693" s="4"/>
    </row>
    <row r="4694" spans="1:6" x14ac:dyDescent="0.4">
      <c r="A4694" s="4"/>
      <c r="B4694" s="4"/>
      <c r="C4694" s="5"/>
      <c r="D4694" s="4"/>
      <c r="E4694" s="4"/>
      <c r="F4694" s="4"/>
    </row>
    <row r="4695" spans="1:6" x14ac:dyDescent="0.4">
      <c r="A4695" s="4"/>
      <c r="B4695" s="4"/>
      <c r="C4695" s="5"/>
      <c r="D4695" s="4"/>
      <c r="E4695" s="4"/>
      <c r="F4695" s="4"/>
    </row>
    <row r="4696" spans="1:6" x14ac:dyDescent="0.4">
      <c r="A4696" s="4"/>
      <c r="B4696" s="4"/>
      <c r="C4696" s="5"/>
      <c r="D4696" s="4"/>
      <c r="E4696" s="4"/>
      <c r="F4696" s="4"/>
    </row>
    <row r="4697" spans="1:6" x14ac:dyDescent="0.4">
      <c r="A4697" s="4"/>
      <c r="B4697" s="4"/>
      <c r="C4697" s="5"/>
      <c r="D4697" s="4"/>
      <c r="E4697" s="4"/>
      <c r="F4697" s="4"/>
    </row>
    <row r="4698" spans="1:6" x14ac:dyDescent="0.4">
      <c r="A4698" s="4"/>
      <c r="B4698" s="4"/>
      <c r="C4698" s="5"/>
      <c r="D4698" s="4"/>
      <c r="E4698" s="4"/>
      <c r="F4698" s="4"/>
    </row>
    <row r="4699" spans="1:6" x14ac:dyDescent="0.4">
      <c r="A4699" s="4"/>
      <c r="B4699" s="4"/>
      <c r="C4699" s="5"/>
      <c r="D4699" s="4"/>
      <c r="E4699" s="4"/>
      <c r="F4699" s="4"/>
    </row>
    <row r="4700" spans="1:6" x14ac:dyDescent="0.4">
      <c r="A4700" s="4"/>
      <c r="B4700" s="4"/>
      <c r="C4700" s="5"/>
      <c r="D4700" s="4"/>
      <c r="E4700" s="4"/>
      <c r="F4700" s="4"/>
    </row>
    <row r="4701" spans="1:6" x14ac:dyDescent="0.4">
      <c r="A4701" s="4"/>
      <c r="B4701" s="4"/>
      <c r="C4701" s="5"/>
      <c r="D4701" s="4"/>
      <c r="E4701" s="4"/>
      <c r="F4701" s="4"/>
    </row>
    <row r="4702" spans="1:6" x14ac:dyDescent="0.4">
      <c r="A4702" s="4"/>
      <c r="B4702" s="4"/>
      <c r="C4702" s="5"/>
      <c r="D4702" s="4"/>
      <c r="E4702" s="4"/>
      <c r="F4702" s="4"/>
    </row>
    <row r="4703" spans="1:6" x14ac:dyDescent="0.4">
      <c r="A4703" s="4"/>
      <c r="B4703" s="4"/>
      <c r="C4703" s="5"/>
      <c r="D4703" s="4"/>
      <c r="E4703" s="4"/>
      <c r="F4703" s="4"/>
    </row>
    <row r="4704" spans="1:6" x14ac:dyDescent="0.4">
      <c r="A4704" s="4"/>
      <c r="B4704" s="4"/>
      <c r="C4704" s="5"/>
      <c r="D4704" s="4"/>
      <c r="E4704" s="4"/>
      <c r="F4704" s="4"/>
    </row>
    <row r="4705" spans="1:6" x14ac:dyDescent="0.4">
      <c r="A4705" s="4"/>
      <c r="B4705" s="4"/>
      <c r="C4705" s="5"/>
      <c r="D4705" s="4"/>
      <c r="E4705" s="4"/>
      <c r="F4705" s="4"/>
    </row>
    <row r="4706" spans="1:6" x14ac:dyDescent="0.4">
      <c r="A4706" s="4"/>
      <c r="B4706" s="4"/>
      <c r="C4706" s="5"/>
      <c r="D4706" s="4"/>
      <c r="E4706" s="4"/>
      <c r="F4706" s="4"/>
    </row>
    <row r="4707" spans="1:6" x14ac:dyDescent="0.4">
      <c r="A4707" s="4"/>
      <c r="B4707" s="4"/>
      <c r="C4707" s="5"/>
      <c r="D4707" s="4"/>
      <c r="E4707" s="4"/>
      <c r="F4707" s="4"/>
    </row>
    <row r="4708" spans="1:6" x14ac:dyDescent="0.4">
      <c r="A4708" s="4"/>
      <c r="B4708" s="4"/>
      <c r="C4708" s="5"/>
      <c r="D4708" s="4"/>
      <c r="E4708" s="4"/>
      <c r="F4708" s="4"/>
    </row>
    <row r="4709" spans="1:6" x14ac:dyDescent="0.4">
      <c r="A4709" s="4"/>
      <c r="B4709" s="4"/>
      <c r="C4709" s="5"/>
      <c r="D4709" s="4"/>
      <c r="E4709" s="4"/>
      <c r="F4709" s="4"/>
    </row>
    <row r="4710" spans="1:6" x14ac:dyDescent="0.4">
      <c r="A4710" s="4"/>
      <c r="B4710" s="4"/>
      <c r="C4710" s="5"/>
      <c r="D4710" s="4"/>
      <c r="E4710" s="4"/>
      <c r="F4710" s="4"/>
    </row>
    <row r="4711" spans="1:6" x14ac:dyDescent="0.4">
      <c r="A4711" s="4"/>
      <c r="B4711" s="4"/>
      <c r="C4711" s="5"/>
      <c r="D4711" s="4"/>
      <c r="E4711" s="4"/>
      <c r="F4711" s="4"/>
    </row>
    <row r="4712" spans="1:6" x14ac:dyDescent="0.4">
      <c r="A4712" s="4"/>
      <c r="B4712" s="4"/>
      <c r="C4712" s="5"/>
      <c r="D4712" s="4"/>
      <c r="E4712" s="4"/>
      <c r="F4712" s="4"/>
    </row>
    <row r="4713" spans="1:6" x14ac:dyDescent="0.4">
      <c r="A4713" s="4"/>
      <c r="B4713" s="4"/>
      <c r="C4713" s="5"/>
      <c r="D4713" s="4"/>
      <c r="E4713" s="4"/>
      <c r="F4713" s="4"/>
    </row>
    <row r="4714" spans="1:6" x14ac:dyDescent="0.4">
      <c r="A4714" s="4"/>
      <c r="B4714" s="4"/>
      <c r="C4714" s="5"/>
      <c r="D4714" s="4"/>
      <c r="E4714" s="4"/>
      <c r="F4714" s="4"/>
    </row>
    <row r="4715" spans="1:6" x14ac:dyDescent="0.4">
      <c r="A4715" s="4"/>
      <c r="B4715" s="4"/>
      <c r="C4715" s="5"/>
      <c r="D4715" s="4"/>
      <c r="E4715" s="4"/>
      <c r="F4715" s="4"/>
    </row>
    <row r="4716" spans="1:6" x14ac:dyDescent="0.4">
      <c r="A4716" s="4"/>
      <c r="B4716" s="4"/>
      <c r="C4716" s="5"/>
      <c r="D4716" s="4"/>
      <c r="E4716" s="4"/>
      <c r="F4716" s="4"/>
    </row>
    <row r="4717" spans="1:6" x14ac:dyDescent="0.4">
      <c r="A4717" s="4"/>
      <c r="B4717" s="4"/>
      <c r="C4717" s="5"/>
      <c r="D4717" s="4"/>
      <c r="E4717" s="4"/>
      <c r="F4717" s="4"/>
    </row>
    <row r="4718" spans="1:6" x14ac:dyDescent="0.4">
      <c r="A4718" s="4"/>
      <c r="B4718" s="4"/>
      <c r="C4718" s="5"/>
      <c r="D4718" s="4"/>
      <c r="E4718" s="4"/>
      <c r="F4718" s="4"/>
    </row>
    <row r="4719" spans="1:6" x14ac:dyDescent="0.4">
      <c r="A4719" s="4"/>
      <c r="B4719" s="4"/>
      <c r="C4719" s="5"/>
      <c r="D4719" s="4"/>
      <c r="E4719" s="4"/>
      <c r="F4719" s="4"/>
    </row>
    <row r="4720" spans="1:6" x14ac:dyDescent="0.4">
      <c r="A4720" s="4"/>
      <c r="B4720" s="4"/>
      <c r="C4720" s="5"/>
      <c r="D4720" s="4"/>
      <c r="E4720" s="4"/>
      <c r="F4720" s="4"/>
    </row>
    <row r="4721" spans="1:6" x14ac:dyDescent="0.4">
      <c r="A4721" s="4"/>
      <c r="B4721" s="4"/>
      <c r="C4721" s="5"/>
      <c r="D4721" s="4"/>
      <c r="E4721" s="4"/>
      <c r="F4721" s="4"/>
    </row>
    <row r="4722" spans="1:6" x14ac:dyDescent="0.4">
      <c r="A4722" s="4"/>
      <c r="B4722" s="4"/>
      <c r="C4722" s="5"/>
      <c r="D4722" s="4"/>
      <c r="E4722" s="4"/>
      <c r="F4722" s="4"/>
    </row>
    <row r="4723" spans="1:6" x14ac:dyDescent="0.4">
      <c r="A4723" s="4"/>
      <c r="B4723" s="4"/>
      <c r="C4723" s="5"/>
      <c r="D4723" s="4"/>
      <c r="E4723" s="4"/>
      <c r="F4723" s="4"/>
    </row>
    <row r="4724" spans="1:6" x14ac:dyDescent="0.4">
      <c r="A4724" s="4"/>
      <c r="B4724" s="4"/>
      <c r="C4724" s="5"/>
      <c r="D4724" s="4"/>
      <c r="E4724" s="4"/>
      <c r="F4724" s="4"/>
    </row>
    <row r="4725" spans="1:6" x14ac:dyDescent="0.4">
      <c r="A4725" s="4"/>
      <c r="B4725" s="4"/>
      <c r="C4725" s="5"/>
      <c r="D4725" s="4"/>
      <c r="E4725" s="4"/>
      <c r="F4725" s="4"/>
    </row>
    <row r="4726" spans="1:6" x14ac:dyDescent="0.4">
      <c r="A4726" s="4"/>
      <c r="B4726" s="4"/>
      <c r="C4726" s="5"/>
      <c r="D4726" s="4"/>
      <c r="E4726" s="4"/>
      <c r="F4726" s="4"/>
    </row>
    <row r="4727" spans="1:6" x14ac:dyDescent="0.4">
      <c r="A4727" s="4"/>
      <c r="B4727" s="4"/>
      <c r="C4727" s="5"/>
      <c r="D4727" s="4"/>
      <c r="E4727" s="4"/>
      <c r="F4727" s="4"/>
    </row>
    <row r="4728" spans="1:6" x14ac:dyDescent="0.4">
      <c r="A4728" s="4"/>
      <c r="B4728" s="4"/>
      <c r="C4728" s="5"/>
      <c r="D4728" s="4"/>
      <c r="E4728" s="4"/>
      <c r="F4728" s="4"/>
    </row>
    <row r="4729" spans="1:6" x14ac:dyDescent="0.4">
      <c r="A4729" s="4"/>
      <c r="B4729" s="4"/>
      <c r="C4729" s="5"/>
      <c r="D4729" s="4"/>
      <c r="E4729" s="4"/>
      <c r="F4729" s="4"/>
    </row>
    <row r="4730" spans="1:6" x14ac:dyDescent="0.4">
      <c r="A4730" s="4"/>
      <c r="B4730" s="4"/>
      <c r="C4730" s="5"/>
      <c r="D4730" s="4"/>
      <c r="E4730" s="4"/>
      <c r="F4730" s="4"/>
    </row>
    <row r="4731" spans="1:6" x14ac:dyDescent="0.4">
      <c r="A4731" s="4"/>
      <c r="B4731" s="4"/>
      <c r="C4731" s="5"/>
      <c r="D4731" s="4"/>
      <c r="E4731" s="4"/>
      <c r="F4731" s="4"/>
    </row>
    <row r="4732" spans="1:6" x14ac:dyDescent="0.4">
      <c r="A4732" s="4"/>
      <c r="B4732" s="4"/>
      <c r="C4732" s="5"/>
      <c r="D4732" s="4"/>
      <c r="E4732" s="4"/>
      <c r="F4732" s="4"/>
    </row>
    <row r="4733" spans="1:6" x14ac:dyDescent="0.4">
      <c r="A4733" s="4"/>
      <c r="B4733" s="4"/>
      <c r="C4733" s="5"/>
      <c r="D4733" s="4"/>
      <c r="E4733" s="4"/>
      <c r="F4733" s="4"/>
    </row>
    <row r="4734" spans="1:6" x14ac:dyDescent="0.4">
      <c r="A4734" s="4"/>
      <c r="B4734" s="4"/>
      <c r="C4734" s="5"/>
      <c r="D4734" s="4"/>
      <c r="E4734" s="4"/>
      <c r="F4734" s="4"/>
    </row>
    <row r="4735" spans="1:6" x14ac:dyDescent="0.4">
      <c r="A4735" s="4"/>
      <c r="B4735" s="4"/>
      <c r="C4735" s="5"/>
      <c r="D4735" s="4"/>
      <c r="E4735" s="4"/>
      <c r="F4735" s="4"/>
    </row>
    <row r="4736" spans="1:6" x14ac:dyDescent="0.4">
      <c r="A4736" s="4"/>
      <c r="B4736" s="4"/>
      <c r="C4736" s="5"/>
      <c r="D4736" s="4"/>
      <c r="E4736" s="4"/>
      <c r="F4736" s="4"/>
    </row>
    <row r="4737" spans="1:6" x14ac:dyDescent="0.4">
      <c r="A4737" s="4"/>
      <c r="B4737" s="4"/>
      <c r="C4737" s="5"/>
      <c r="D4737" s="4"/>
      <c r="E4737" s="4"/>
      <c r="F4737" s="4"/>
    </row>
    <row r="4738" spans="1:6" x14ac:dyDescent="0.4">
      <c r="A4738" s="4"/>
      <c r="B4738" s="4"/>
      <c r="C4738" s="5"/>
      <c r="D4738" s="4"/>
      <c r="E4738" s="4"/>
      <c r="F4738" s="4"/>
    </row>
    <row r="4739" spans="1:6" x14ac:dyDescent="0.4">
      <c r="A4739" s="4"/>
      <c r="B4739" s="4"/>
      <c r="C4739" s="5"/>
      <c r="D4739" s="4"/>
      <c r="E4739" s="4"/>
      <c r="F4739" s="4"/>
    </row>
    <row r="4740" spans="1:6" x14ac:dyDescent="0.4">
      <c r="A4740" s="4"/>
      <c r="B4740" s="4"/>
      <c r="C4740" s="5"/>
      <c r="D4740" s="4"/>
      <c r="E4740" s="4"/>
      <c r="F4740" s="4"/>
    </row>
    <row r="4741" spans="1:6" x14ac:dyDescent="0.4">
      <c r="A4741" s="4"/>
      <c r="B4741" s="4"/>
      <c r="C4741" s="5"/>
      <c r="D4741" s="4"/>
      <c r="E4741" s="4"/>
      <c r="F4741" s="4"/>
    </row>
    <row r="4742" spans="1:6" x14ac:dyDescent="0.4">
      <c r="A4742" s="4"/>
      <c r="B4742" s="4"/>
      <c r="C4742" s="5"/>
      <c r="D4742" s="4"/>
      <c r="E4742" s="4"/>
      <c r="F4742" s="4"/>
    </row>
    <row r="4743" spans="1:6" x14ac:dyDescent="0.4">
      <c r="A4743" s="4"/>
      <c r="B4743" s="4"/>
      <c r="C4743" s="5"/>
      <c r="D4743" s="4"/>
      <c r="E4743" s="4"/>
      <c r="F4743" s="4"/>
    </row>
    <row r="4744" spans="1:6" x14ac:dyDescent="0.4">
      <c r="A4744" s="4"/>
      <c r="B4744" s="4"/>
      <c r="C4744" s="5"/>
      <c r="D4744" s="4"/>
      <c r="E4744" s="4"/>
      <c r="F4744" s="4"/>
    </row>
    <row r="4745" spans="1:6" x14ac:dyDescent="0.4">
      <c r="A4745" s="4"/>
      <c r="B4745" s="4"/>
      <c r="C4745" s="5"/>
      <c r="D4745" s="4"/>
      <c r="E4745" s="4"/>
      <c r="F4745" s="4"/>
    </row>
    <row r="4746" spans="1:6" x14ac:dyDescent="0.4">
      <c r="A4746" s="4"/>
      <c r="B4746" s="4"/>
      <c r="C4746" s="5"/>
      <c r="D4746" s="4"/>
      <c r="E4746" s="4"/>
      <c r="F4746" s="4"/>
    </row>
    <row r="4747" spans="1:6" x14ac:dyDescent="0.4">
      <c r="A4747" s="4"/>
      <c r="B4747" s="4"/>
      <c r="C4747" s="5"/>
      <c r="D4747" s="4"/>
      <c r="E4747" s="4"/>
      <c r="F4747" s="4"/>
    </row>
    <row r="4748" spans="1:6" x14ac:dyDescent="0.4">
      <c r="A4748" s="4"/>
      <c r="B4748" s="4"/>
      <c r="C4748" s="5"/>
      <c r="D4748" s="4"/>
      <c r="E4748" s="4"/>
      <c r="F4748" s="4"/>
    </row>
    <row r="4749" spans="1:6" x14ac:dyDescent="0.4">
      <c r="A4749" s="4"/>
      <c r="B4749" s="4"/>
      <c r="C4749" s="5"/>
      <c r="D4749" s="4"/>
      <c r="E4749" s="4"/>
      <c r="F4749" s="4"/>
    </row>
    <row r="4750" spans="1:6" x14ac:dyDescent="0.4">
      <c r="A4750" s="4"/>
      <c r="B4750" s="4"/>
      <c r="C4750" s="5"/>
      <c r="D4750" s="4"/>
      <c r="E4750" s="4"/>
      <c r="F4750" s="4"/>
    </row>
    <row r="4751" spans="1:6" x14ac:dyDescent="0.4">
      <c r="A4751" s="4"/>
      <c r="B4751" s="4"/>
      <c r="C4751" s="5"/>
      <c r="D4751" s="4"/>
      <c r="E4751" s="4"/>
      <c r="F4751" s="4"/>
    </row>
    <row r="4752" spans="1:6" x14ac:dyDescent="0.4">
      <c r="A4752" s="4"/>
      <c r="B4752" s="4"/>
      <c r="C4752" s="5"/>
      <c r="D4752" s="4"/>
      <c r="E4752" s="4"/>
      <c r="F4752" s="4"/>
    </row>
    <row r="4753" spans="1:6" x14ac:dyDescent="0.4">
      <c r="A4753" s="4"/>
      <c r="B4753" s="4"/>
      <c r="C4753" s="5"/>
      <c r="D4753" s="4"/>
      <c r="E4753" s="4"/>
      <c r="F4753" s="4"/>
    </row>
    <row r="4754" spans="1:6" x14ac:dyDescent="0.4">
      <c r="A4754" s="4"/>
      <c r="B4754" s="4"/>
      <c r="C4754" s="5"/>
      <c r="D4754" s="4"/>
      <c r="E4754" s="4"/>
      <c r="F4754" s="4"/>
    </row>
    <row r="4755" spans="1:6" x14ac:dyDescent="0.4">
      <c r="A4755" s="4"/>
      <c r="B4755" s="4"/>
      <c r="C4755" s="5"/>
      <c r="D4755" s="4"/>
      <c r="E4755" s="4"/>
      <c r="F4755" s="4"/>
    </row>
    <row r="4756" spans="1:6" x14ac:dyDescent="0.4">
      <c r="A4756" s="4"/>
      <c r="B4756" s="4"/>
      <c r="C4756" s="5"/>
      <c r="D4756" s="4"/>
      <c r="E4756" s="4"/>
      <c r="F4756" s="4"/>
    </row>
    <row r="4757" spans="1:6" x14ac:dyDescent="0.4">
      <c r="A4757" s="4"/>
      <c r="B4757" s="4"/>
      <c r="C4757" s="5"/>
      <c r="D4757" s="4"/>
      <c r="E4757" s="4"/>
      <c r="F4757" s="4"/>
    </row>
    <row r="4758" spans="1:6" x14ac:dyDescent="0.4">
      <c r="A4758" s="4"/>
      <c r="B4758" s="4"/>
      <c r="C4758" s="5"/>
      <c r="D4758" s="4"/>
      <c r="E4758" s="4"/>
      <c r="F4758" s="4"/>
    </row>
    <row r="4759" spans="1:6" x14ac:dyDescent="0.4">
      <c r="A4759" s="4"/>
      <c r="B4759" s="4"/>
      <c r="C4759" s="5"/>
      <c r="D4759" s="4"/>
      <c r="E4759" s="4"/>
      <c r="F4759" s="4"/>
    </row>
    <row r="4760" spans="1:6" x14ac:dyDescent="0.4">
      <c r="A4760" s="4"/>
      <c r="B4760" s="4"/>
      <c r="C4760" s="5"/>
      <c r="D4760" s="4"/>
      <c r="E4760" s="4"/>
      <c r="F4760" s="4"/>
    </row>
    <row r="4761" spans="1:6" x14ac:dyDescent="0.4">
      <c r="A4761" s="4"/>
      <c r="B4761" s="4"/>
      <c r="C4761" s="5"/>
      <c r="D4761" s="4"/>
      <c r="E4761" s="4"/>
      <c r="F4761" s="4"/>
    </row>
    <row r="4762" spans="1:6" x14ac:dyDescent="0.4">
      <c r="A4762" s="4"/>
      <c r="B4762" s="4"/>
      <c r="C4762" s="5"/>
      <c r="D4762" s="4"/>
      <c r="E4762" s="4"/>
      <c r="F4762" s="4"/>
    </row>
    <row r="4763" spans="1:6" x14ac:dyDescent="0.4">
      <c r="A4763" s="4"/>
      <c r="B4763" s="4"/>
      <c r="C4763" s="5"/>
      <c r="D4763" s="4"/>
      <c r="E4763" s="4"/>
      <c r="F4763" s="4"/>
    </row>
    <row r="4764" spans="1:6" x14ac:dyDescent="0.4">
      <c r="A4764" s="4"/>
      <c r="B4764" s="4"/>
      <c r="C4764" s="5"/>
      <c r="D4764" s="4"/>
      <c r="E4764" s="4"/>
      <c r="F4764" s="4"/>
    </row>
    <row r="4765" spans="1:6" x14ac:dyDescent="0.4">
      <c r="A4765" s="4"/>
      <c r="B4765" s="4"/>
      <c r="C4765" s="5"/>
      <c r="D4765" s="4"/>
      <c r="E4765" s="4"/>
      <c r="F4765" s="4"/>
    </row>
    <row r="4766" spans="1:6" x14ac:dyDescent="0.4">
      <c r="A4766" s="4"/>
      <c r="B4766" s="4"/>
      <c r="C4766" s="5"/>
      <c r="D4766" s="4"/>
      <c r="E4766" s="4"/>
      <c r="F4766" s="4"/>
    </row>
    <row r="4767" spans="1:6" x14ac:dyDescent="0.4">
      <c r="A4767" s="4"/>
      <c r="B4767" s="4"/>
      <c r="C4767" s="5"/>
      <c r="D4767" s="4"/>
      <c r="E4767" s="4"/>
      <c r="F4767" s="4"/>
    </row>
    <row r="4768" spans="1:6" x14ac:dyDescent="0.4">
      <c r="A4768" s="4"/>
      <c r="B4768" s="4"/>
      <c r="C4768" s="5"/>
      <c r="D4768" s="4"/>
      <c r="E4768" s="4"/>
      <c r="F4768" s="4"/>
    </row>
    <row r="4769" spans="1:6" x14ac:dyDescent="0.4">
      <c r="A4769" s="4"/>
      <c r="B4769" s="4"/>
      <c r="C4769" s="5"/>
      <c r="D4769" s="4"/>
      <c r="E4769" s="4"/>
      <c r="F4769" s="4"/>
    </row>
    <row r="4770" spans="1:6" x14ac:dyDescent="0.4">
      <c r="A4770" s="4"/>
      <c r="B4770" s="4"/>
      <c r="C4770" s="5"/>
      <c r="D4770" s="4"/>
      <c r="E4770" s="4"/>
      <c r="F4770" s="4"/>
    </row>
    <row r="4771" spans="1:6" x14ac:dyDescent="0.4">
      <c r="A4771" s="4"/>
      <c r="B4771" s="4"/>
      <c r="C4771" s="5"/>
      <c r="D4771" s="4"/>
      <c r="E4771" s="4"/>
      <c r="F4771" s="4"/>
    </row>
    <row r="4772" spans="1:6" x14ac:dyDescent="0.4">
      <c r="A4772" s="4"/>
      <c r="B4772" s="4"/>
      <c r="C4772" s="5"/>
      <c r="D4772" s="4"/>
      <c r="E4772" s="4"/>
      <c r="F4772" s="4"/>
    </row>
    <row r="4773" spans="1:6" x14ac:dyDescent="0.4">
      <c r="A4773" s="4"/>
      <c r="B4773" s="4"/>
      <c r="C4773" s="5"/>
      <c r="D4773" s="4"/>
      <c r="E4773" s="4"/>
      <c r="F4773" s="4"/>
    </row>
    <row r="4774" spans="1:6" x14ac:dyDescent="0.4">
      <c r="A4774" s="4"/>
      <c r="B4774" s="4"/>
      <c r="C4774" s="5"/>
      <c r="D4774" s="4"/>
      <c r="E4774" s="4"/>
      <c r="F4774" s="4"/>
    </row>
    <row r="4775" spans="1:6" x14ac:dyDescent="0.4">
      <c r="A4775" s="4"/>
      <c r="B4775" s="4"/>
      <c r="C4775" s="5"/>
      <c r="D4775" s="4"/>
      <c r="E4775" s="4"/>
      <c r="F4775" s="4"/>
    </row>
    <row r="4776" spans="1:6" x14ac:dyDescent="0.4">
      <c r="A4776" s="4"/>
      <c r="B4776" s="4"/>
      <c r="C4776" s="5"/>
      <c r="D4776" s="4"/>
      <c r="E4776" s="4"/>
      <c r="F4776" s="4"/>
    </row>
    <row r="4777" spans="1:6" x14ac:dyDescent="0.4">
      <c r="A4777" s="4"/>
      <c r="B4777" s="4"/>
      <c r="C4777" s="5"/>
      <c r="D4777" s="4"/>
      <c r="E4777" s="4"/>
      <c r="F4777" s="4"/>
    </row>
    <row r="4778" spans="1:6" x14ac:dyDescent="0.4">
      <c r="A4778" s="4"/>
      <c r="B4778" s="4"/>
      <c r="C4778" s="5"/>
      <c r="D4778" s="4"/>
      <c r="E4778" s="4"/>
      <c r="F4778" s="4"/>
    </row>
    <row r="4779" spans="1:6" x14ac:dyDescent="0.4">
      <c r="A4779" s="4"/>
      <c r="B4779" s="4"/>
      <c r="C4779" s="5"/>
      <c r="D4779" s="4"/>
      <c r="E4779" s="4"/>
      <c r="F4779" s="4"/>
    </row>
    <row r="4780" spans="1:6" x14ac:dyDescent="0.4">
      <c r="A4780" s="4"/>
      <c r="B4780" s="4"/>
      <c r="C4780" s="5"/>
      <c r="D4780" s="4"/>
      <c r="E4780" s="4"/>
      <c r="F4780" s="4"/>
    </row>
    <row r="4781" spans="1:6" x14ac:dyDescent="0.4">
      <c r="A4781" s="4"/>
      <c r="B4781" s="4"/>
      <c r="C4781" s="5"/>
      <c r="D4781" s="4"/>
      <c r="E4781" s="4"/>
      <c r="F4781" s="4"/>
    </row>
    <row r="4782" spans="1:6" x14ac:dyDescent="0.4">
      <c r="A4782" s="4"/>
      <c r="B4782" s="4"/>
      <c r="C4782" s="5"/>
      <c r="D4782" s="4"/>
      <c r="E4782" s="4"/>
      <c r="F4782" s="4"/>
    </row>
    <row r="4783" spans="1:6" x14ac:dyDescent="0.4">
      <c r="A4783" s="4"/>
      <c r="B4783" s="4"/>
      <c r="C4783" s="5"/>
      <c r="D4783" s="4"/>
      <c r="E4783" s="4"/>
      <c r="F4783" s="4"/>
    </row>
    <row r="4784" spans="1:6" x14ac:dyDescent="0.4">
      <c r="A4784" s="4"/>
      <c r="B4784" s="4"/>
      <c r="C4784" s="5"/>
      <c r="D4784" s="4"/>
      <c r="E4784" s="4"/>
      <c r="F4784" s="4"/>
    </row>
    <row r="4785" spans="1:6" x14ac:dyDescent="0.4">
      <c r="A4785" s="4"/>
      <c r="B4785" s="4"/>
      <c r="C4785" s="5"/>
      <c r="D4785" s="4"/>
      <c r="E4785" s="4"/>
      <c r="F4785" s="4"/>
    </row>
    <row r="4786" spans="1:6" x14ac:dyDescent="0.4">
      <c r="A4786" s="4"/>
      <c r="B4786" s="4"/>
      <c r="C4786" s="5"/>
      <c r="D4786" s="4"/>
      <c r="E4786" s="4"/>
      <c r="F4786" s="4"/>
    </row>
    <row r="4787" spans="1:6" x14ac:dyDescent="0.4">
      <c r="A4787" s="4"/>
      <c r="B4787" s="4"/>
      <c r="C4787" s="5"/>
      <c r="D4787" s="4"/>
      <c r="E4787" s="4"/>
      <c r="F4787" s="4"/>
    </row>
    <row r="4788" spans="1:6" x14ac:dyDescent="0.4">
      <c r="A4788" s="4"/>
      <c r="B4788" s="4"/>
      <c r="C4788" s="5"/>
      <c r="D4788" s="4"/>
      <c r="E4788" s="4"/>
      <c r="F4788" s="4"/>
    </row>
    <row r="4789" spans="1:6" x14ac:dyDescent="0.4">
      <c r="A4789" s="4"/>
      <c r="B4789" s="4"/>
      <c r="C4789" s="5"/>
      <c r="D4789" s="4"/>
      <c r="E4789" s="4"/>
      <c r="F4789" s="4"/>
    </row>
    <row r="4790" spans="1:6" x14ac:dyDescent="0.4">
      <c r="A4790" s="4"/>
      <c r="B4790" s="4"/>
      <c r="C4790" s="5"/>
      <c r="D4790" s="4"/>
      <c r="E4790" s="4"/>
      <c r="F4790" s="4"/>
    </row>
    <row r="4791" spans="1:6" x14ac:dyDescent="0.4">
      <c r="A4791" s="4"/>
      <c r="B4791" s="4"/>
      <c r="C4791" s="5"/>
      <c r="D4791" s="4"/>
      <c r="E4791" s="4"/>
      <c r="F4791" s="4"/>
    </row>
    <row r="4792" spans="1:6" x14ac:dyDescent="0.4">
      <c r="A4792" s="4"/>
      <c r="B4792" s="4"/>
      <c r="C4792" s="5"/>
      <c r="D4792" s="4"/>
      <c r="E4792" s="4"/>
      <c r="F4792" s="4"/>
    </row>
    <row r="4793" spans="1:6" x14ac:dyDescent="0.4">
      <c r="A4793" s="4"/>
      <c r="B4793" s="4"/>
      <c r="C4793" s="5"/>
      <c r="D4793" s="4"/>
      <c r="E4793" s="4"/>
      <c r="F4793" s="4"/>
    </row>
    <row r="4794" spans="1:6" x14ac:dyDescent="0.4">
      <c r="A4794" s="4"/>
      <c r="B4794" s="4"/>
      <c r="C4794" s="5"/>
      <c r="D4794" s="4"/>
      <c r="E4794" s="4"/>
      <c r="F4794" s="4"/>
    </row>
    <row r="4795" spans="1:6" x14ac:dyDescent="0.4">
      <c r="A4795" s="4"/>
      <c r="B4795" s="4"/>
      <c r="C4795" s="5"/>
      <c r="D4795" s="4"/>
      <c r="E4795" s="4"/>
      <c r="F4795" s="4"/>
    </row>
    <row r="4796" spans="1:6" x14ac:dyDescent="0.4">
      <c r="A4796" s="4"/>
      <c r="B4796" s="4"/>
      <c r="C4796" s="5"/>
      <c r="D4796" s="4"/>
      <c r="E4796" s="4"/>
      <c r="F4796" s="4"/>
    </row>
    <row r="4797" spans="1:6" x14ac:dyDescent="0.4">
      <c r="A4797" s="4"/>
      <c r="B4797" s="4"/>
      <c r="C4797" s="5"/>
      <c r="D4797" s="4"/>
      <c r="E4797" s="4"/>
      <c r="F4797" s="4"/>
    </row>
    <row r="4798" spans="1:6" x14ac:dyDescent="0.4">
      <c r="A4798" s="4"/>
      <c r="B4798" s="4"/>
      <c r="C4798" s="5"/>
      <c r="D4798" s="4"/>
      <c r="E4798" s="4"/>
      <c r="F4798" s="4"/>
    </row>
    <row r="4799" spans="1:6" x14ac:dyDescent="0.4">
      <c r="A4799" s="4"/>
      <c r="B4799" s="4"/>
      <c r="C4799" s="5"/>
      <c r="D4799" s="4"/>
      <c r="E4799" s="4"/>
      <c r="F4799" s="4"/>
    </row>
    <row r="4800" spans="1:6" x14ac:dyDescent="0.4">
      <c r="A4800" s="4"/>
      <c r="B4800" s="4"/>
      <c r="C4800" s="5"/>
      <c r="D4800" s="4"/>
      <c r="E4800" s="4"/>
      <c r="F4800" s="4"/>
    </row>
    <row r="4801" spans="1:6" x14ac:dyDescent="0.4">
      <c r="A4801" s="4"/>
      <c r="B4801" s="4"/>
      <c r="C4801" s="5"/>
      <c r="D4801" s="4"/>
      <c r="E4801" s="4"/>
      <c r="F4801" s="4"/>
    </row>
    <row r="4802" spans="1:6" x14ac:dyDescent="0.4">
      <c r="A4802" s="4"/>
      <c r="B4802" s="4"/>
      <c r="C4802" s="5"/>
      <c r="D4802" s="4"/>
      <c r="E4802" s="4"/>
      <c r="F4802" s="4"/>
    </row>
    <row r="4803" spans="1:6" x14ac:dyDescent="0.4">
      <c r="A4803" s="4"/>
      <c r="B4803" s="4"/>
      <c r="C4803" s="5"/>
      <c r="D4803" s="4"/>
      <c r="E4803" s="4"/>
      <c r="F4803" s="4"/>
    </row>
    <row r="4804" spans="1:6" x14ac:dyDescent="0.4">
      <c r="A4804" s="4"/>
      <c r="B4804" s="4"/>
      <c r="C4804" s="5"/>
      <c r="D4804" s="4"/>
      <c r="E4804" s="4"/>
      <c r="F4804" s="4"/>
    </row>
    <row r="4805" spans="1:6" x14ac:dyDescent="0.4">
      <c r="A4805" s="4"/>
      <c r="B4805" s="4"/>
      <c r="C4805" s="5"/>
      <c r="D4805" s="4"/>
      <c r="E4805" s="4"/>
      <c r="F4805" s="4"/>
    </row>
    <row r="4806" spans="1:6" x14ac:dyDescent="0.4">
      <c r="A4806" s="4"/>
      <c r="B4806" s="4"/>
      <c r="C4806" s="5"/>
      <c r="D4806" s="4"/>
      <c r="E4806" s="4"/>
      <c r="F4806" s="4"/>
    </row>
    <row r="4807" spans="1:6" x14ac:dyDescent="0.4">
      <c r="A4807" s="4"/>
      <c r="B4807" s="4"/>
      <c r="C4807" s="5"/>
      <c r="D4807" s="4"/>
      <c r="E4807" s="4"/>
      <c r="F4807" s="4"/>
    </row>
    <row r="4808" spans="1:6" x14ac:dyDescent="0.4">
      <c r="A4808" s="4"/>
      <c r="B4808" s="4"/>
      <c r="C4808" s="5"/>
      <c r="D4808" s="4"/>
      <c r="E4808" s="4"/>
      <c r="F4808" s="4"/>
    </row>
    <row r="4809" spans="1:6" x14ac:dyDescent="0.4">
      <c r="A4809" s="4"/>
      <c r="B4809" s="4"/>
      <c r="C4809" s="5"/>
      <c r="D4809" s="4"/>
      <c r="E4809" s="4"/>
      <c r="F4809" s="4"/>
    </row>
    <row r="4810" spans="1:6" x14ac:dyDescent="0.4">
      <c r="A4810" s="4"/>
      <c r="B4810" s="4"/>
      <c r="C4810" s="5"/>
      <c r="D4810" s="4"/>
      <c r="E4810" s="4"/>
      <c r="F4810" s="4"/>
    </row>
    <row r="4811" spans="1:6" x14ac:dyDescent="0.4">
      <c r="A4811" s="4"/>
      <c r="B4811" s="4"/>
      <c r="C4811" s="5"/>
      <c r="D4811" s="4"/>
      <c r="E4811" s="4"/>
      <c r="F4811" s="4"/>
    </row>
    <row r="4812" spans="1:6" x14ac:dyDescent="0.4">
      <c r="A4812" s="4"/>
      <c r="B4812" s="4"/>
      <c r="C4812" s="5"/>
      <c r="D4812" s="4"/>
      <c r="E4812" s="4"/>
      <c r="F4812" s="4"/>
    </row>
    <row r="4813" spans="1:6" x14ac:dyDescent="0.4">
      <c r="A4813" s="4"/>
      <c r="B4813" s="4"/>
      <c r="C4813" s="5"/>
      <c r="D4813" s="4"/>
      <c r="E4813" s="4"/>
      <c r="F4813" s="4"/>
    </row>
    <row r="4814" spans="1:6" x14ac:dyDescent="0.4">
      <c r="A4814" s="4"/>
      <c r="B4814" s="4"/>
      <c r="C4814" s="5"/>
      <c r="D4814" s="4"/>
      <c r="E4814" s="4"/>
      <c r="F4814" s="4"/>
    </row>
    <row r="4815" spans="1:6" x14ac:dyDescent="0.4">
      <c r="A4815" s="4"/>
      <c r="B4815" s="4"/>
      <c r="C4815" s="5"/>
      <c r="D4815" s="4"/>
      <c r="E4815" s="4"/>
      <c r="F4815" s="4"/>
    </row>
    <row r="4816" spans="1:6" x14ac:dyDescent="0.4">
      <c r="A4816" s="4"/>
      <c r="B4816" s="4"/>
      <c r="C4816" s="5"/>
      <c r="D4816" s="4"/>
      <c r="E4816" s="4"/>
      <c r="F4816" s="4"/>
    </row>
    <row r="4817" spans="1:6" x14ac:dyDescent="0.4">
      <c r="A4817" s="4"/>
      <c r="B4817" s="4"/>
      <c r="C4817" s="5"/>
      <c r="D4817" s="4"/>
      <c r="E4817" s="4"/>
      <c r="F4817" s="4"/>
    </row>
    <row r="4818" spans="1:6" x14ac:dyDescent="0.4">
      <c r="A4818" s="4"/>
      <c r="B4818" s="4"/>
      <c r="C4818" s="5"/>
      <c r="D4818" s="4"/>
      <c r="E4818" s="4"/>
      <c r="F4818" s="4"/>
    </row>
    <row r="4819" spans="1:6" x14ac:dyDescent="0.4">
      <c r="A4819" s="4"/>
      <c r="B4819" s="4"/>
      <c r="C4819" s="5"/>
      <c r="D4819" s="4"/>
      <c r="E4819" s="4"/>
      <c r="F4819" s="4"/>
    </row>
    <row r="4820" spans="1:6" x14ac:dyDescent="0.4">
      <c r="A4820" s="4"/>
      <c r="B4820" s="4"/>
      <c r="C4820" s="5"/>
      <c r="D4820" s="4"/>
      <c r="E4820" s="4"/>
      <c r="F4820" s="4"/>
    </row>
    <row r="4821" spans="1:6" x14ac:dyDescent="0.4">
      <c r="A4821" s="4"/>
      <c r="B4821" s="4"/>
      <c r="C4821" s="5"/>
      <c r="D4821" s="4"/>
      <c r="E4821" s="4"/>
      <c r="F4821" s="4"/>
    </row>
    <row r="4822" spans="1:6" x14ac:dyDescent="0.4">
      <c r="A4822" s="4"/>
      <c r="B4822" s="4"/>
      <c r="C4822" s="5"/>
      <c r="D4822" s="4"/>
      <c r="E4822" s="4"/>
      <c r="F4822" s="4"/>
    </row>
    <row r="4823" spans="1:6" x14ac:dyDescent="0.4">
      <c r="A4823" s="4"/>
      <c r="B4823" s="4"/>
      <c r="C4823" s="5"/>
      <c r="D4823" s="4"/>
      <c r="E4823" s="4"/>
      <c r="F4823" s="4"/>
    </row>
    <row r="4824" spans="1:6" x14ac:dyDescent="0.4">
      <c r="A4824" s="4"/>
      <c r="B4824" s="4"/>
      <c r="C4824" s="5"/>
      <c r="D4824" s="4"/>
      <c r="E4824" s="4"/>
      <c r="F4824" s="4"/>
    </row>
    <row r="4825" spans="1:6" x14ac:dyDescent="0.4">
      <c r="A4825" s="4"/>
      <c r="B4825" s="4"/>
      <c r="C4825" s="5"/>
      <c r="D4825" s="4"/>
      <c r="E4825" s="4"/>
      <c r="F4825" s="4"/>
    </row>
    <row r="4826" spans="1:6" x14ac:dyDescent="0.4">
      <c r="A4826" s="4"/>
      <c r="B4826" s="4"/>
      <c r="C4826" s="5"/>
      <c r="D4826" s="4"/>
      <c r="E4826" s="4"/>
      <c r="F4826" s="4"/>
    </row>
    <row r="4827" spans="1:6" x14ac:dyDescent="0.4">
      <c r="A4827" s="4"/>
      <c r="B4827" s="4"/>
      <c r="C4827" s="5"/>
      <c r="D4827" s="4"/>
      <c r="E4827" s="4"/>
      <c r="F4827" s="4"/>
    </row>
    <row r="4828" spans="1:6" x14ac:dyDescent="0.4">
      <c r="A4828" s="4"/>
      <c r="B4828" s="4"/>
      <c r="C4828" s="5"/>
      <c r="D4828" s="4"/>
      <c r="E4828" s="4"/>
      <c r="F4828" s="4"/>
    </row>
    <row r="4829" spans="1:6" x14ac:dyDescent="0.4">
      <c r="A4829" s="4"/>
      <c r="B4829" s="4"/>
      <c r="C4829" s="5"/>
      <c r="D4829" s="4"/>
      <c r="E4829" s="4"/>
      <c r="F4829" s="4"/>
    </row>
    <row r="4830" spans="1:6" x14ac:dyDescent="0.4">
      <c r="A4830" s="4"/>
      <c r="B4830" s="4"/>
      <c r="C4830" s="5"/>
      <c r="D4830" s="4"/>
      <c r="E4830" s="4"/>
      <c r="F4830" s="4"/>
    </row>
    <row r="4831" spans="1:6" x14ac:dyDescent="0.4">
      <c r="A4831" s="4"/>
      <c r="B4831" s="4"/>
      <c r="C4831" s="5"/>
      <c r="D4831" s="4"/>
      <c r="E4831" s="4"/>
      <c r="F4831" s="4"/>
    </row>
    <row r="4832" spans="1:6" x14ac:dyDescent="0.4">
      <c r="A4832" s="4"/>
      <c r="B4832" s="4"/>
      <c r="C4832" s="5"/>
      <c r="D4832" s="4"/>
      <c r="E4832" s="4"/>
      <c r="F4832" s="4"/>
    </row>
    <row r="4833" spans="1:6" x14ac:dyDescent="0.4">
      <c r="A4833" s="4"/>
      <c r="B4833" s="4"/>
      <c r="C4833" s="5"/>
      <c r="D4833" s="4"/>
      <c r="E4833" s="4"/>
      <c r="F4833" s="4"/>
    </row>
    <row r="4834" spans="1:6" x14ac:dyDescent="0.4">
      <c r="A4834" s="4"/>
      <c r="B4834" s="4"/>
      <c r="C4834" s="5"/>
      <c r="D4834" s="4"/>
      <c r="E4834" s="4"/>
      <c r="F4834" s="4"/>
    </row>
    <row r="4835" spans="1:6" x14ac:dyDescent="0.4">
      <c r="A4835" s="4"/>
      <c r="B4835" s="4"/>
      <c r="C4835" s="5"/>
      <c r="D4835" s="4"/>
      <c r="E4835" s="4"/>
      <c r="F4835" s="4"/>
    </row>
    <row r="4836" spans="1:6" x14ac:dyDescent="0.4">
      <c r="A4836" s="4"/>
      <c r="B4836" s="4"/>
      <c r="C4836" s="5"/>
      <c r="D4836" s="4"/>
      <c r="E4836" s="4"/>
      <c r="F4836" s="4"/>
    </row>
    <row r="4837" spans="1:6" x14ac:dyDescent="0.4">
      <c r="A4837" s="4"/>
      <c r="B4837" s="4"/>
      <c r="C4837" s="5"/>
      <c r="D4837" s="4"/>
      <c r="E4837" s="4"/>
      <c r="F4837" s="4"/>
    </row>
    <row r="4838" spans="1:6" x14ac:dyDescent="0.4">
      <c r="A4838" s="4"/>
      <c r="B4838" s="4"/>
      <c r="C4838" s="5"/>
      <c r="D4838" s="4"/>
      <c r="E4838" s="4"/>
      <c r="F4838" s="4"/>
    </row>
    <row r="4839" spans="1:6" x14ac:dyDescent="0.4">
      <c r="A4839" s="4"/>
      <c r="B4839" s="4"/>
      <c r="C4839" s="5"/>
      <c r="D4839" s="4"/>
      <c r="E4839" s="4"/>
      <c r="F4839" s="4"/>
    </row>
    <row r="4840" spans="1:6" x14ac:dyDescent="0.4">
      <c r="A4840" s="4"/>
      <c r="B4840" s="4"/>
      <c r="C4840" s="5"/>
      <c r="D4840" s="4"/>
      <c r="E4840" s="4"/>
      <c r="F4840" s="4"/>
    </row>
    <row r="4841" spans="1:6" x14ac:dyDescent="0.4">
      <c r="A4841" s="4"/>
      <c r="B4841" s="4"/>
      <c r="C4841" s="5"/>
      <c r="D4841" s="4"/>
      <c r="E4841" s="4"/>
      <c r="F4841" s="4"/>
    </row>
    <row r="4842" spans="1:6" x14ac:dyDescent="0.4">
      <c r="A4842" s="4"/>
      <c r="B4842" s="4"/>
      <c r="C4842" s="5"/>
      <c r="D4842" s="4"/>
      <c r="E4842" s="4"/>
      <c r="F4842" s="4"/>
    </row>
    <row r="4843" spans="1:6" x14ac:dyDescent="0.4">
      <c r="A4843" s="4"/>
      <c r="B4843" s="4"/>
      <c r="C4843" s="5"/>
      <c r="D4843" s="4"/>
      <c r="E4843" s="4"/>
      <c r="F4843" s="4"/>
    </row>
    <row r="4844" spans="1:6" x14ac:dyDescent="0.4">
      <c r="A4844" s="4"/>
      <c r="B4844" s="4"/>
      <c r="C4844" s="5"/>
      <c r="D4844" s="4"/>
      <c r="E4844" s="4"/>
      <c r="F4844" s="4"/>
    </row>
    <row r="4845" spans="1:6" x14ac:dyDescent="0.4">
      <c r="A4845" s="4"/>
      <c r="B4845" s="4"/>
      <c r="C4845" s="5"/>
      <c r="D4845" s="4"/>
      <c r="E4845" s="4"/>
      <c r="F4845" s="4"/>
    </row>
    <row r="4846" spans="1:6" x14ac:dyDescent="0.4">
      <c r="A4846" s="4"/>
      <c r="B4846" s="4"/>
      <c r="C4846" s="5"/>
      <c r="D4846" s="4"/>
      <c r="E4846" s="4"/>
      <c r="F4846" s="4"/>
    </row>
    <row r="4847" spans="1:6" x14ac:dyDescent="0.4">
      <c r="A4847" s="4"/>
      <c r="B4847" s="4"/>
      <c r="C4847" s="5"/>
      <c r="D4847" s="4"/>
      <c r="E4847" s="4"/>
      <c r="F4847" s="4"/>
    </row>
    <row r="4848" spans="1:6" x14ac:dyDescent="0.4">
      <c r="A4848" s="4"/>
      <c r="B4848" s="4"/>
      <c r="C4848" s="5"/>
      <c r="D4848" s="4"/>
      <c r="E4848" s="4"/>
      <c r="F4848" s="4"/>
    </row>
    <row r="4849" spans="1:6" x14ac:dyDescent="0.4">
      <c r="A4849" s="4"/>
      <c r="B4849" s="4"/>
      <c r="C4849" s="5"/>
      <c r="D4849" s="4"/>
      <c r="E4849" s="4"/>
      <c r="F4849" s="4"/>
    </row>
    <row r="4850" spans="1:6" x14ac:dyDescent="0.4">
      <c r="A4850" s="4"/>
      <c r="B4850" s="4"/>
      <c r="C4850" s="5"/>
      <c r="D4850" s="4"/>
      <c r="E4850" s="4"/>
      <c r="F4850" s="4"/>
    </row>
    <row r="4851" spans="1:6" x14ac:dyDescent="0.4">
      <c r="A4851" s="4"/>
      <c r="B4851" s="4"/>
      <c r="C4851" s="5"/>
      <c r="D4851" s="4"/>
      <c r="E4851" s="4"/>
      <c r="F4851" s="4"/>
    </row>
    <row r="4852" spans="1:6" x14ac:dyDescent="0.4">
      <c r="A4852" s="4"/>
      <c r="B4852" s="4"/>
      <c r="C4852" s="5"/>
      <c r="D4852" s="4"/>
      <c r="E4852" s="4"/>
      <c r="F4852" s="4"/>
    </row>
    <row r="4853" spans="1:6" x14ac:dyDescent="0.4">
      <c r="A4853" s="4"/>
      <c r="B4853" s="4"/>
      <c r="C4853" s="5"/>
      <c r="D4853" s="4"/>
      <c r="E4853" s="4"/>
      <c r="F4853" s="4"/>
    </row>
    <row r="4854" spans="1:6" x14ac:dyDescent="0.4">
      <c r="A4854" s="4"/>
      <c r="B4854" s="4"/>
      <c r="C4854" s="5"/>
      <c r="D4854" s="4"/>
      <c r="E4854" s="4"/>
      <c r="F4854" s="4"/>
    </row>
    <row r="4855" spans="1:6" x14ac:dyDescent="0.4">
      <c r="A4855" s="4"/>
      <c r="B4855" s="4"/>
      <c r="C4855" s="5"/>
      <c r="D4855" s="4"/>
      <c r="E4855" s="4"/>
      <c r="F4855" s="4"/>
    </row>
    <row r="4856" spans="1:6" x14ac:dyDescent="0.4">
      <c r="A4856" s="4"/>
      <c r="B4856" s="4"/>
      <c r="C4856" s="5"/>
      <c r="D4856" s="4"/>
      <c r="E4856" s="4"/>
      <c r="F4856" s="4"/>
    </row>
    <row r="4857" spans="1:6" x14ac:dyDescent="0.4">
      <c r="A4857" s="4"/>
      <c r="B4857" s="4"/>
      <c r="C4857" s="5"/>
      <c r="D4857" s="4"/>
      <c r="E4857" s="4"/>
      <c r="F4857" s="4"/>
    </row>
    <row r="4858" spans="1:6" x14ac:dyDescent="0.4">
      <c r="A4858" s="4"/>
      <c r="B4858" s="4"/>
      <c r="C4858" s="5"/>
      <c r="D4858" s="4"/>
      <c r="E4858" s="4"/>
      <c r="F4858" s="4"/>
    </row>
    <row r="4859" spans="1:6" x14ac:dyDescent="0.4">
      <c r="A4859" s="4"/>
      <c r="B4859" s="4"/>
      <c r="C4859" s="5"/>
      <c r="D4859" s="4"/>
      <c r="E4859" s="4"/>
      <c r="F4859" s="4"/>
    </row>
    <row r="4860" spans="1:6" x14ac:dyDescent="0.4">
      <c r="A4860" s="4"/>
      <c r="B4860" s="4"/>
      <c r="C4860" s="5"/>
      <c r="D4860" s="4"/>
      <c r="E4860" s="4"/>
      <c r="F4860" s="4"/>
    </row>
    <row r="4861" spans="1:6" x14ac:dyDescent="0.4">
      <c r="A4861" s="4"/>
      <c r="B4861" s="4"/>
      <c r="C4861" s="5"/>
      <c r="D4861" s="4"/>
      <c r="E4861" s="4"/>
      <c r="F4861" s="4"/>
    </row>
    <row r="4862" spans="1:6" x14ac:dyDescent="0.4">
      <c r="A4862" s="4"/>
      <c r="B4862" s="4"/>
      <c r="C4862" s="5"/>
      <c r="D4862" s="4"/>
      <c r="E4862" s="4"/>
      <c r="F4862" s="4"/>
    </row>
    <row r="4863" spans="1:6" x14ac:dyDescent="0.4">
      <c r="A4863" s="4"/>
      <c r="B4863" s="4"/>
      <c r="C4863" s="5"/>
      <c r="D4863" s="4"/>
      <c r="E4863" s="4"/>
      <c r="F4863" s="4"/>
    </row>
    <row r="4864" spans="1:6" x14ac:dyDescent="0.4">
      <c r="A4864" s="4"/>
      <c r="B4864" s="4"/>
      <c r="C4864" s="5"/>
      <c r="D4864" s="4"/>
      <c r="E4864" s="4"/>
      <c r="F4864" s="4"/>
    </row>
    <row r="4865" spans="1:6" x14ac:dyDescent="0.4">
      <c r="A4865" s="4"/>
      <c r="B4865" s="4"/>
      <c r="C4865" s="5"/>
      <c r="D4865" s="4"/>
      <c r="E4865" s="4"/>
      <c r="F4865" s="4"/>
    </row>
    <row r="4866" spans="1:6" x14ac:dyDescent="0.4">
      <c r="A4866" s="4"/>
      <c r="B4866" s="4"/>
      <c r="C4866" s="5"/>
      <c r="D4866" s="4"/>
      <c r="E4866" s="4"/>
      <c r="F4866" s="4"/>
    </row>
    <row r="4867" spans="1:6" x14ac:dyDescent="0.4">
      <c r="A4867" s="4"/>
      <c r="B4867" s="4"/>
      <c r="C4867" s="5"/>
      <c r="D4867" s="4"/>
      <c r="E4867" s="4"/>
      <c r="F4867" s="4"/>
    </row>
    <row r="4868" spans="1:6" x14ac:dyDescent="0.4">
      <c r="A4868" s="4"/>
      <c r="B4868" s="4"/>
      <c r="C4868" s="5"/>
      <c r="D4868" s="4"/>
      <c r="E4868" s="4"/>
      <c r="F4868" s="4"/>
    </row>
    <row r="4869" spans="1:6" x14ac:dyDescent="0.4">
      <c r="A4869" s="4"/>
      <c r="B4869" s="4"/>
      <c r="C4869" s="5"/>
      <c r="D4869" s="4"/>
      <c r="E4869" s="4"/>
      <c r="F4869" s="4"/>
    </row>
    <row r="4870" spans="1:6" x14ac:dyDescent="0.4">
      <c r="A4870" s="4"/>
      <c r="B4870" s="4"/>
      <c r="C4870" s="5"/>
      <c r="D4870" s="4"/>
      <c r="E4870" s="4"/>
      <c r="F4870" s="4"/>
    </row>
    <row r="4871" spans="1:6" x14ac:dyDescent="0.4">
      <c r="A4871" s="4"/>
      <c r="B4871" s="4"/>
      <c r="C4871" s="5"/>
      <c r="D4871" s="4"/>
      <c r="E4871" s="4"/>
      <c r="F4871" s="4"/>
    </row>
    <row r="4872" spans="1:6" x14ac:dyDescent="0.4">
      <c r="A4872" s="4"/>
      <c r="B4872" s="4"/>
      <c r="C4872" s="5"/>
      <c r="D4872" s="4"/>
      <c r="E4872" s="4"/>
      <c r="F4872" s="4"/>
    </row>
    <row r="4873" spans="1:6" x14ac:dyDescent="0.4">
      <c r="A4873" s="4"/>
      <c r="B4873" s="4"/>
      <c r="C4873" s="5"/>
      <c r="D4873" s="4"/>
      <c r="E4873" s="4"/>
      <c r="F4873" s="4"/>
    </row>
    <row r="4874" spans="1:6" x14ac:dyDescent="0.4">
      <c r="A4874" s="4"/>
      <c r="B4874" s="4"/>
      <c r="C4874" s="5"/>
      <c r="D4874" s="4"/>
      <c r="E4874" s="4"/>
      <c r="F4874" s="4"/>
    </row>
    <row r="4875" spans="1:6" x14ac:dyDescent="0.4">
      <c r="A4875" s="4"/>
      <c r="B4875" s="4"/>
      <c r="C4875" s="5"/>
      <c r="D4875" s="4"/>
      <c r="E4875" s="4"/>
      <c r="F4875" s="4"/>
    </row>
    <row r="4876" spans="1:6" x14ac:dyDescent="0.4">
      <c r="A4876" s="4"/>
      <c r="B4876" s="4"/>
      <c r="C4876" s="5"/>
      <c r="D4876" s="4"/>
      <c r="E4876" s="4"/>
      <c r="F4876" s="4"/>
    </row>
    <row r="4877" spans="1:6" x14ac:dyDescent="0.4">
      <c r="A4877" s="4"/>
      <c r="B4877" s="4"/>
      <c r="C4877" s="5"/>
      <c r="D4877" s="4"/>
      <c r="E4877" s="4"/>
      <c r="F4877" s="4"/>
    </row>
    <row r="4878" spans="1:6" x14ac:dyDescent="0.4">
      <c r="A4878" s="4"/>
      <c r="B4878" s="4"/>
      <c r="C4878" s="5"/>
      <c r="D4878" s="4"/>
      <c r="E4878" s="4"/>
      <c r="F4878" s="4"/>
    </row>
    <row r="4879" spans="1:6" x14ac:dyDescent="0.4">
      <c r="A4879" s="4"/>
      <c r="B4879" s="4"/>
      <c r="C4879" s="5"/>
      <c r="D4879" s="4"/>
      <c r="E4879" s="4"/>
      <c r="F4879" s="4"/>
    </row>
    <row r="4880" spans="1:6" x14ac:dyDescent="0.4">
      <c r="A4880" s="4"/>
      <c r="B4880" s="4"/>
      <c r="C4880" s="5"/>
      <c r="D4880" s="4"/>
      <c r="E4880" s="4"/>
      <c r="F4880" s="4"/>
    </row>
    <row r="4881" spans="1:6" x14ac:dyDescent="0.4">
      <c r="A4881" s="4"/>
      <c r="B4881" s="4"/>
      <c r="C4881" s="5"/>
      <c r="D4881" s="4"/>
      <c r="E4881" s="4"/>
      <c r="F4881" s="4"/>
    </row>
    <row r="4882" spans="1:6" x14ac:dyDescent="0.4">
      <c r="A4882" s="4"/>
      <c r="B4882" s="4"/>
      <c r="C4882" s="5"/>
      <c r="D4882" s="4"/>
      <c r="E4882" s="4"/>
      <c r="F4882" s="4"/>
    </row>
    <row r="4883" spans="1:6" x14ac:dyDescent="0.4">
      <c r="A4883" s="4"/>
      <c r="B4883" s="4"/>
      <c r="C4883" s="5"/>
      <c r="D4883" s="4"/>
      <c r="E4883" s="4"/>
      <c r="F4883" s="4"/>
    </row>
    <row r="4884" spans="1:6" x14ac:dyDescent="0.4">
      <c r="A4884" s="4"/>
      <c r="B4884" s="4"/>
      <c r="C4884" s="5"/>
      <c r="D4884" s="4"/>
      <c r="E4884" s="4"/>
      <c r="F4884" s="4"/>
    </row>
    <row r="4885" spans="1:6" x14ac:dyDescent="0.4">
      <c r="A4885" s="4"/>
      <c r="B4885" s="4"/>
      <c r="C4885" s="5"/>
      <c r="D4885" s="4"/>
      <c r="E4885" s="4"/>
      <c r="F4885" s="4"/>
    </row>
    <row r="4886" spans="1:6" x14ac:dyDescent="0.4">
      <c r="A4886" s="4"/>
      <c r="B4886" s="4"/>
      <c r="C4886" s="5"/>
      <c r="D4886" s="4"/>
      <c r="E4886" s="4"/>
      <c r="F4886" s="4"/>
    </row>
    <row r="4887" spans="1:6" x14ac:dyDescent="0.4">
      <c r="A4887" s="4"/>
      <c r="B4887" s="4"/>
      <c r="C4887" s="5"/>
      <c r="D4887" s="4"/>
      <c r="E4887" s="4"/>
      <c r="F4887" s="4"/>
    </row>
    <row r="4888" spans="1:6" x14ac:dyDescent="0.4">
      <c r="A4888" s="4"/>
      <c r="B4888" s="4"/>
      <c r="C4888" s="5"/>
      <c r="D4888" s="4"/>
      <c r="E4888" s="4"/>
      <c r="F4888" s="4"/>
    </row>
    <row r="4889" spans="1:6" x14ac:dyDescent="0.4">
      <c r="A4889" s="4"/>
      <c r="B4889" s="4"/>
      <c r="C4889" s="5"/>
      <c r="D4889" s="4"/>
      <c r="E4889" s="4"/>
      <c r="F4889" s="4"/>
    </row>
    <row r="4890" spans="1:6" x14ac:dyDescent="0.4">
      <c r="A4890" s="4"/>
      <c r="B4890" s="4"/>
      <c r="C4890" s="5"/>
      <c r="D4890" s="4"/>
      <c r="E4890" s="4"/>
      <c r="F4890" s="4"/>
    </row>
    <row r="4891" spans="1:6" x14ac:dyDescent="0.4">
      <c r="A4891" s="4"/>
      <c r="B4891" s="4"/>
      <c r="C4891" s="5"/>
      <c r="D4891" s="4"/>
      <c r="E4891" s="4"/>
      <c r="F4891" s="4"/>
    </row>
    <row r="4892" spans="1:6" x14ac:dyDescent="0.4">
      <c r="A4892" s="4"/>
      <c r="B4892" s="4"/>
      <c r="C4892" s="5"/>
      <c r="D4892" s="4"/>
      <c r="E4892" s="4"/>
      <c r="F4892" s="4"/>
    </row>
    <row r="4893" spans="1:6" x14ac:dyDescent="0.4">
      <c r="A4893" s="4"/>
      <c r="B4893" s="4"/>
      <c r="C4893" s="5"/>
      <c r="D4893" s="4"/>
      <c r="E4893" s="4"/>
      <c r="F4893" s="4"/>
    </row>
    <row r="4894" spans="1:6" x14ac:dyDescent="0.4">
      <c r="A4894" s="4"/>
      <c r="B4894" s="4"/>
      <c r="C4894" s="5"/>
      <c r="D4894" s="4"/>
      <c r="E4894" s="4"/>
      <c r="F4894" s="4"/>
    </row>
    <row r="4895" spans="1:6" x14ac:dyDescent="0.4">
      <c r="A4895" s="4"/>
      <c r="B4895" s="4"/>
      <c r="C4895" s="5"/>
      <c r="D4895" s="4"/>
      <c r="E4895" s="4"/>
      <c r="F4895" s="4"/>
    </row>
    <row r="4896" spans="1:6" x14ac:dyDescent="0.4">
      <c r="A4896" s="4"/>
      <c r="B4896" s="4"/>
      <c r="C4896" s="5"/>
      <c r="D4896" s="4"/>
      <c r="E4896" s="4"/>
      <c r="F4896" s="4"/>
    </row>
    <row r="4897" spans="1:6" x14ac:dyDescent="0.4">
      <c r="A4897" s="4"/>
      <c r="B4897" s="4"/>
      <c r="C4897" s="5"/>
      <c r="D4897" s="4"/>
      <c r="E4897" s="4"/>
      <c r="F4897" s="4"/>
    </row>
    <row r="4898" spans="1:6" x14ac:dyDescent="0.4">
      <c r="A4898" s="4"/>
      <c r="B4898" s="4"/>
      <c r="C4898" s="5"/>
      <c r="D4898" s="4"/>
      <c r="E4898" s="4"/>
      <c r="F4898" s="4"/>
    </row>
    <row r="4899" spans="1:6" x14ac:dyDescent="0.4">
      <c r="A4899" s="4"/>
      <c r="B4899" s="4"/>
      <c r="C4899" s="5"/>
      <c r="D4899" s="4"/>
      <c r="E4899" s="4"/>
      <c r="F4899" s="4"/>
    </row>
    <row r="4900" spans="1:6" x14ac:dyDescent="0.4">
      <c r="A4900" s="4"/>
      <c r="B4900" s="4"/>
      <c r="C4900" s="5"/>
      <c r="D4900" s="4"/>
      <c r="E4900" s="4"/>
      <c r="F4900" s="4"/>
    </row>
    <row r="4901" spans="1:6" x14ac:dyDescent="0.4">
      <c r="A4901" s="4"/>
      <c r="B4901" s="4"/>
      <c r="C4901" s="5"/>
      <c r="D4901" s="4"/>
      <c r="E4901" s="4"/>
      <c r="F4901" s="4"/>
    </row>
    <row r="4902" spans="1:6" x14ac:dyDescent="0.4">
      <c r="A4902" s="4"/>
      <c r="B4902" s="4"/>
      <c r="C4902" s="5"/>
      <c r="D4902" s="4"/>
      <c r="E4902" s="4"/>
      <c r="F4902" s="4"/>
    </row>
    <row r="4903" spans="1:6" x14ac:dyDescent="0.4">
      <c r="A4903" s="4"/>
      <c r="B4903" s="4"/>
      <c r="C4903" s="5"/>
      <c r="D4903" s="4"/>
      <c r="E4903" s="4"/>
      <c r="F4903" s="4"/>
    </row>
    <row r="4904" spans="1:6" x14ac:dyDescent="0.4">
      <c r="A4904" s="4"/>
      <c r="B4904" s="4"/>
      <c r="C4904" s="5"/>
      <c r="D4904" s="4"/>
      <c r="E4904" s="4"/>
      <c r="F4904" s="4"/>
    </row>
    <row r="4905" spans="1:6" x14ac:dyDescent="0.4">
      <c r="A4905" s="4"/>
      <c r="B4905" s="4"/>
      <c r="C4905" s="5"/>
      <c r="D4905" s="4"/>
      <c r="E4905" s="4"/>
      <c r="F4905" s="4"/>
    </row>
    <row r="4906" spans="1:6" x14ac:dyDescent="0.4">
      <c r="A4906" s="4"/>
      <c r="B4906" s="4"/>
      <c r="C4906" s="5"/>
      <c r="D4906" s="4"/>
      <c r="E4906" s="4"/>
      <c r="F4906" s="4"/>
    </row>
    <row r="4907" spans="1:6" x14ac:dyDescent="0.4">
      <c r="A4907" s="4"/>
      <c r="B4907" s="4"/>
      <c r="C4907" s="5"/>
      <c r="D4907" s="4"/>
      <c r="E4907" s="4"/>
      <c r="F4907" s="4"/>
    </row>
    <row r="4908" spans="1:6" x14ac:dyDescent="0.4">
      <c r="A4908" s="4"/>
      <c r="B4908" s="4"/>
      <c r="C4908" s="5"/>
      <c r="D4908" s="4"/>
      <c r="E4908" s="4"/>
      <c r="F4908" s="4"/>
    </row>
    <row r="4909" spans="1:6" x14ac:dyDescent="0.4">
      <c r="A4909" s="4"/>
      <c r="B4909" s="4"/>
      <c r="C4909" s="5"/>
      <c r="D4909" s="4"/>
      <c r="E4909" s="4"/>
      <c r="F4909" s="4"/>
    </row>
    <row r="4910" spans="1:6" x14ac:dyDescent="0.4">
      <c r="A4910" s="4"/>
      <c r="B4910" s="4"/>
      <c r="C4910" s="5"/>
      <c r="D4910" s="4"/>
      <c r="E4910" s="4"/>
      <c r="F4910" s="4"/>
    </row>
    <row r="4911" spans="1:6" x14ac:dyDescent="0.4">
      <c r="A4911" s="4"/>
      <c r="B4911" s="4"/>
      <c r="C4911" s="5"/>
      <c r="D4911" s="4"/>
      <c r="E4911" s="4"/>
      <c r="F4911" s="4"/>
    </row>
    <row r="4912" spans="1:6" x14ac:dyDescent="0.4">
      <c r="A4912" s="4"/>
      <c r="B4912" s="4"/>
      <c r="C4912" s="5"/>
      <c r="D4912" s="4"/>
      <c r="E4912" s="4"/>
      <c r="F4912" s="4"/>
    </row>
    <row r="4913" spans="1:6" x14ac:dyDescent="0.4">
      <c r="A4913" s="4"/>
      <c r="B4913" s="4"/>
      <c r="C4913" s="5"/>
      <c r="D4913" s="4"/>
      <c r="E4913" s="4"/>
      <c r="F4913" s="4"/>
    </row>
    <row r="4914" spans="1:6" x14ac:dyDescent="0.4">
      <c r="A4914" s="4"/>
      <c r="B4914" s="4"/>
      <c r="C4914" s="5"/>
      <c r="D4914" s="4"/>
      <c r="E4914" s="4"/>
      <c r="F4914" s="4"/>
    </row>
    <row r="4915" spans="1:6" x14ac:dyDescent="0.4">
      <c r="A4915" s="4"/>
      <c r="B4915" s="4"/>
      <c r="C4915" s="5"/>
      <c r="D4915" s="4"/>
      <c r="E4915" s="4"/>
      <c r="F4915" s="4"/>
    </row>
    <row r="4916" spans="1:6" x14ac:dyDescent="0.4">
      <c r="A4916" s="4"/>
      <c r="B4916" s="4"/>
      <c r="C4916" s="5"/>
      <c r="D4916" s="4"/>
      <c r="E4916" s="4"/>
      <c r="F4916" s="4"/>
    </row>
    <row r="4917" spans="1:6" x14ac:dyDescent="0.4">
      <c r="A4917" s="4"/>
      <c r="B4917" s="4"/>
      <c r="C4917" s="5"/>
      <c r="D4917" s="4"/>
      <c r="E4917" s="4"/>
      <c r="F4917" s="4"/>
    </row>
    <row r="4918" spans="1:6" x14ac:dyDescent="0.4">
      <c r="A4918" s="4"/>
      <c r="B4918" s="4"/>
      <c r="C4918" s="5"/>
      <c r="D4918" s="4"/>
      <c r="E4918" s="4"/>
      <c r="F4918" s="4"/>
    </row>
    <row r="4919" spans="1:6" x14ac:dyDescent="0.4">
      <c r="A4919" s="4"/>
      <c r="B4919" s="4"/>
      <c r="C4919" s="5"/>
      <c r="D4919" s="4"/>
      <c r="E4919" s="4"/>
      <c r="F4919" s="4"/>
    </row>
    <row r="4920" spans="1:6" x14ac:dyDescent="0.4">
      <c r="A4920" s="4"/>
      <c r="B4920" s="4"/>
      <c r="C4920" s="5"/>
      <c r="D4920" s="4"/>
      <c r="E4920" s="4"/>
      <c r="F4920" s="4"/>
    </row>
    <row r="4921" spans="1:6" x14ac:dyDescent="0.4">
      <c r="A4921" s="4"/>
      <c r="B4921" s="4"/>
      <c r="C4921" s="5"/>
      <c r="D4921" s="4"/>
      <c r="E4921" s="4"/>
      <c r="F4921" s="4"/>
    </row>
    <row r="4922" spans="1:6" x14ac:dyDescent="0.4">
      <c r="A4922" s="4"/>
      <c r="B4922" s="4"/>
      <c r="C4922" s="5"/>
      <c r="D4922" s="4"/>
      <c r="E4922" s="4"/>
      <c r="F4922" s="4"/>
    </row>
    <row r="4923" spans="1:6" x14ac:dyDescent="0.4">
      <c r="A4923" s="4"/>
      <c r="B4923" s="4"/>
      <c r="C4923" s="5"/>
      <c r="D4923" s="4"/>
      <c r="E4923" s="4"/>
      <c r="F4923" s="4"/>
    </row>
    <row r="4924" spans="1:6" x14ac:dyDescent="0.4">
      <c r="A4924" s="4"/>
      <c r="B4924" s="4"/>
      <c r="C4924" s="5"/>
      <c r="D4924" s="4"/>
      <c r="E4924" s="4"/>
      <c r="F4924" s="4"/>
    </row>
    <row r="4925" spans="1:6" x14ac:dyDescent="0.4">
      <c r="A4925" s="4"/>
      <c r="B4925" s="4"/>
      <c r="C4925" s="5"/>
      <c r="D4925" s="4"/>
      <c r="E4925" s="4"/>
      <c r="F4925" s="4"/>
    </row>
    <row r="4926" spans="1:6" x14ac:dyDescent="0.4">
      <c r="A4926" s="4"/>
      <c r="B4926" s="4"/>
      <c r="C4926" s="5"/>
      <c r="D4926" s="4"/>
      <c r="E4926" s="4"/>
      <c r="F4926" s="4"/>
    </row>
    <row r="4927" spans="1:6" x14ac:dyDescent="0.4">
      <c r="A4927" s="4"/>
      <c r="B4927" s="4"/>
      <c r="C4927" s="5"/>
      <c r="D4927" s="4"/>
      <c r="E4927" s="4"/>
      <c r="F4927" s="4"/>
    </row>
    <row r="4928" spans="1:6" x14ac:dyDescent="0.4">
      <c r="A4928" s="4"/>
      <c r="B4928" s="4"/>
      <c r="C4928" s="5"/>
      <c r="D4928" s="4"/>
      <c r="E4928" s="4"/>
      <c r="F4928" s="4"/>
    </row>
    <row r="4929" spans="1:6" x14ac:dyDescent="0.4">
      <c r="A4929" s="4"/>
      <c r="B4929" s="4"/>
      <c r="C4929" s="5"/>
      <c r="D4929" s="4"/>
      <c r="E4929" s="4"/>
      <c r="F4929" s="4"/>
    </row>
    <row r="4930" spans="1:6" x14ac:dyDescent="0.4">
      <c r="A4930" s="4"/>
      <c r="B4930" s="4"/>
      <c r="C4930" s="5"/>
      <c r="D4930" s="4"/>
      <c r="E4930" s="4"/>
      <c r="F4930" s="4"/>
    </row>
    <row r="4931" spans="1:6" x14ac:dyDescent="0.4">
      <c r="A4931" s="4"/>
      <c r="B4931" s="4"/>
      <c r="C4931" s="5"/>
      <c r="D4931" s="4"/>
      <c r="E4931" s="4"/>
      <c r="F4931" s="4"/>
    </row>
    <row r="4932" spans="1:6" x14ac:dyDescent="0.4">
      <c r="A4932" s="4"/>
      <c r="B4932" s="4"/>
      <c r="C4932" s="5"/>
      <c r="D4932" s="4"/>
      <c r="E4932" s="4"/>
      <c r="F4932" s="4"/>
    </row>
    <row r="4933" spans="1:6" x14ac:dyDescent="0.4">
      <c r="A4933" s="4"/>
      <c r="B4933" s="4"/>
      <c r="C4933" s="5"/>
      <c r="D4933" s="4"/>
      <c r="E4933" s="4"/>
      <c r="F4933" s="4"/>
    </row>
    <row r="4934" spans="1:6" x14ac:dyDescent="0.4">
      <c r="A4934" s="4"/>
      <c r="B4934" s="4"/>
      <c r="C4934" s="5"/>
      <c r="D4934" s="4"/>
      <c r="E4934" s="4"/>
      <c r="F4934" s="4"/>
    </row>
    <row r="4935" spans="1:6" x14ac:dyDescent="0.4">
      <c r="A4935" s="4"/>
      <c r="B4935" s="4"/>
      <c r="C4935" s="5"/>
      <c r="D4935" s="4"/>
      <c r="E4935" s="4"/>
      <c r="F4935" s="4"/>
    </row>
    <row r="4936" spans="1:6" x14ac:dyDescent="0.4">
      <c r="A4936" s="4"/>
      <c r="B4936" s="4"/>
      <c r="C4936" s="5"/>
      <c r="D4936" s="4"/>
      <c r="E4936" s="4"/>
      <c r="F4936" s="4"/>
    </row>
    <row r="4937" spans="1:6" x14ac:dyDescent="0.4">
      <c r="A4937" s="4"/>
      <c r="B4937" s="4"/>
      <c r="C4937" s="5"/>
      <c r="D4937" s="4"/>
      <c r="E4937" s="4"/>
      <c r="F4937" s="4"/>
    </row>
    <row r="4938" spans="1:6" x14ac:dyDescent="0.4">
      <c r="A4938" s="4"/>
      <c r="B4938" s="4"/>
      <c r="C4938" s="5"/>
      <c r="D4938" s="4"/>
      <c r="E4938" s="4"/>
      <c r="F4938" s="4"/>
    </row>
    <row r="4939" spans="1:6" x14ac:dyDescent="0.4">
      <c r="A4939" s="4"/>
      <c r="B4939" s="4"/>
      <c r="C4939" s="5"/>
      <c r="D4939" s="4"/>
      <c r="E4939" s="4"/>
      <c r="F4939" s="4"/>
    </row>
    <row r="4940" spans="1:6" x14ac:dyDescent="0.4">
      <c r="A4940" s="4"/>
      <c r="B4940" s="4"/>
      <c r="C4940" s="5"/>
      <c r="D4940" s="4"/>
      <c r="E4940" s="4"/>
      <c r="F4940" s="4"/>
    </row>
    <row r="4941" spans="1:6" x14ac:dyDescent="0.4">
      <c r="A4941" s="4"/>
      <c r="B4941" s="4"/>
      <c r="C4941" s="5"/>
      <c r="D4941" s="4"/>
      <c r="E4941" s="4"/>
      <c r="F4941" s="4"/>
    </row>
    <row r="4942" spans="1:6" x14ac:dyDescent="0.4">
      <c r="A4942" s="4"/>
      <c r="B4942" s="4"/>
      <c r="C4942" s="5"/>
      <c r="D4942" s="4"/>
      <c r="E4942" s="4"/>
      <c r="F4942" s="4"/>
    </row>
    <row r="4943" spans="1:6" x14ac:dyDescent="0.4">
      <c r="A4943" s="4"/>
      <c r="B4943" s="4"/>
      <c r="C4943" s="5"/>
      <c r="D4943" s="4"/>
      <c r="E4943" s="4"/>
      <c r="F4943" s="4"/>
    </row>
    <row r="4944" spans="1:6" x14ac:dyDescent="0.4">
      <c r="A4944" s="4"/>
      <c r="B4944" s="4"/>
      <c r="C4944" s="5"/>
      <c r="D4944" s="4"/>
      <c r="E4944" s="4"/>
      <c r="F4944" s="4"/>
    </row>
    <row r="4945" spans="1:6" x14ac:dyDescent="0.4">
      <c r="A4945" s="4"/>
      <c r="B4945" s="4"/>
      <c r="C4945" s="5"/>
      <c r="D4945" s="4"/>
      <c r="E4945" s="4"/>
      <c r="F4945" s="4"/>
    </row>
    <row r="4946" spans="1:6" x14ac:dyDescent="0.4">
      <c r="A4946" s="4"/>
      <c r="B4946" s="4"/>
      <c r="C4946" s="5"/>
      <c r="D4946" s="4"/>
      <c r="E4946" s="4"/>
      <c r="F4946" s="4"/>
    </row>
    <row r="4947" spans="1:6" x14ac:dyDescent="0.4">
      <c r="A4947" s="4"/>
      <c r="B4947" s="4"/>
      <c r="C4947" s="5"/>
      <c r="D4947" s="4"/>
      <c r="E4947" s="4"/>
      <c r="F4947" s="4"/>
    </row>
    <row r="4948" spans="1:6" x14ac:dyDescent="0.4">
      <c r="A4948" s="4"/>
      <c r="B4948" s="4"/>
      <c r="C4948" s="5"/>
      <c r="D4948" s="4"/>
      <c r="E4948" s="4"/>
      <c r="F4948" s="4"/>
    </row>
    <row r="4949" spans="1:6" x14ac:dyDescent="0.4">
      <c r="A4949" s="4"/>
      <c r="B4949" s="4"/>
      <c r="C4949" s="5"/>
      <c r="D4949" s="4"/>
      <c r="E4949" s="4"/>
      <c r="F4949" s="4"/>
    </row>
    <row r="4950" spans="1:6" x14ac:dyDescent="0.4">
      <c r="A4950" s="4"/>
      <c r="B4950" s="4"/>
      <c r="C4950" s="5"/>
      <c r="D4950" s="4"/>
      <c r="E4950" s="4"/>
      <c r="F4950" s="4"/>
    </row>
    <row r="4951" spans="1:6" x14ac:dyDescent="0.4">
      <c r="A4951" s="4"/>
      <c r="B4951" s="4"/>
      <c r="C4951" s="5"/>
      <c r="D4951" s="4"/>
      <c r="E4951" s="4"/>
      <c r="F4951" s="4"/>
    </row>
    <row r="4952" spans="1:6" x14ac:dyDescent="0.4">
      <c r="A4952" s="4"/>
      <c r="B4952" s="4"/>
      <c r="C4952" s="5"/>
      <c r="D4952" s="4"/>
      <c r="E4952" s="4"/>
      <c r="F4952" s="4"/>
    </row>
    <row r="4953" spans="1:6" x14ac:dyDescent="0.4">
      <c r="A4953" s="4"/>
      <c r="B4953" s="4"/>
      <c r="C4953" s="5"/>
      <c r="D4953" s="4"/>
      <c r="E4953" s="4"/>
      <c r="F4953" s="4"/>
    </row>
    <row r="4954" spans="1:6" x14ac:dyDescent="0.4">
      <c r="A4954" s="4"/>
      <c r="B4954" s="4"/>
      <c r="C4954" s="5"/>
      <c r="D4954" s="4"/>
      <c r="E4954" s="4"/>
      <c r="F4954" s="4"/>
    </row>
    <row r="4955" spans="1:6" x14ac:dyDescent="0.4">
      <c r="A4955" s="4"/>
      <c r="B4955" s="4"/>
      <c r="C4955" s="5"/>
      <c r="D4955" s="4"/>
      <c r="E4955" s="4"/>
      <c r="F4955" s="4"/>
    </row>
    <row r="4956" spans="1:6" x14ac:dyDescent="0.4">
      <c r="A4956" s="4"/>
      <c r="B4956" s="4"/>
      <c r="C4956" s="5"/>
      <c r="D4956" s="4"/>
      <c r="E4956" s="4"/>
      <c r="F4956" s="4"/>
    </row>
    <row r="4957" spans="1:6" x14ac:dyDescent="0.4">
      <c r="A4957" s="4"/>
      <c r="B4957" s="4"/>
      <c r="C4957" s="5"/>
      <c r="D4957" s="4"/>
      <c r="E4957" s="4"/>
      <c r="F4957" s="4"/>
    </row>
    <row r="4958" spans="1:6" x14ac:dyDescent="0.4">
      <c r="A4958" s="4"/>
      <c r="B4958" s="4"/>
      <c r="C4958" s="5"/>
      <c r="D4958" s="4"/>
      <c r="E4958" s="4"/>
      <c r="F4958" s="4"/>
    </row>
    <row r="4959" spans="1:6" x14ac:dyDescent="0.4">
      <c r="A4959" s="4"/>
      <c r="B4959" s="4"/>
      <c r="C4959" s="5"/>
      <c r="D4959" s="4"/>
      <c r="E4959" s="4"/>
      <c r="F4959" s="4"/>
    </row>
    <row r="4960" spans="1:6" x14ac:dyDescent="0.4">
      <c r="A4960" s="4"/>
      <c r="B4960" s="4"/>
      <c r="C4960" s="5"/>
      <c r="D4960" s="4"/>
      <c r="E4960" s="4"/>
      <c r="F4960" s="4"/>
    </row>
    <row r="4961" spans="1:6" x14ac:dyDescent="0.4">
      <c r="A4961" s="4"/>
      <c r="B4961" s="4"/>
      <c r="C4961" s="5"/>
      <c r="D4961" s="4"/>
      <c r="E4961" s="4"/>
      <c r="F4961" s="4"/>
    </row>
    <row r="4962" spans="1:6" x14ac:dyDescent="0.4">
      <c r="A4962" s="4"/>
      <c r="B4962" s="4"/>
      <c r="C4962" s="5"/>
      <c r="D4962" s="4"/>
      <c r="E4962" s="4"/>
      <c r="F4962" s="4"/>
    </row>
    <row r="4963" spans="1:6" x14ac:dyDescent="0.4">
      <c r="A4963" s="4"/>
      <c r="B4963" s="4"/>
      <c r="C4963" s="5"/>
      <c r="D4963" s="4"/>
      <c r="E4963" s="4"/>
      <c r="F4963" s="4"/>
    </row>
    <row r="4964" spans="1:6" x14ac:dyDescent="0.4">
      <c r="A4964" s="4"/>
      <c r="B4964" s="4"/>
      <c r="C4964" s="5"/>
      <c r="D4964" s="4"/>
      <c r="E4964" s="4"/>
      <c r="F4964" s="4"/>
    </row>
    <row r="4965" spans="1:6" x14ac:dyDescent="0.4">
      <c r="A4965" s="4"/>
      <c r="B4965" s="4"/>
      <c r="C4965" s="5"/>
      <c r="D4965" s="4"/>
      <c r="E4965" s="4"/>
      <c r="F4965" s="4"/>
    </row>
    <row r="4966" spans="1:6" x14ac:dyDescent="0.4">
      <c r="A4966" s="4"/>
      <c r="B4966" s="4"/>
      <c r="C4966" s="5"/>
      <c r="D4966" s="4"/>
      <c r="E4966" s="4"/>
      <c r="F4966" s="4"/>
    </row>
    <row r="4967" spans="1:6" x14ac:dyDescent="0.4">
      <c r="A4967" s="4"/>
      <c r="B4967" s="4"/>
      <c r="C4967" s="5"/>
      <c r="D4967" s="4"/>
      <c r="E4967" s="4"/>
      <c r="F4967" s="4"/>
    </row>
    <row r="4968" spans="1:6" x14ac:dyDescent="0.4">
      <c r="A4968" s="4"/>
      <c r="B4968" s="4"/>
      <c r="C4968" s="5"/>
      <c r="D4968" s="4"/>
      <c r="E4968" s="4"/>
      <c r="F4968" s="4"/>
    </row>
    <row r="4969" spans="1:6" x14ac:dyDescent="0.4">
      <c r="A4969" s="4"/>
      <c r="B4969" s="4"/>
      <c r="C4969" s="5"/>
      <c r="D4969" s="4"/>
      <c r="E4969" s="4"/>
      <c r="F4969" s="4"/>
    </row>
    <row r="4970" spans="1:6" x14ac:dyDescent="0.4">
      <c r="A4970" s="4"/>
      <c r="B4970" s="4"/>
      <c r="C4970" s="5"/>
      <c r="D4970" s="4"/>
      <c r="E4970" s="4"/>
      <c r="F4970" s="4"/>
    </row>
    <row r="4971" spans="1:6" x14ac:dyDescent="0.4">
      <c r="A4971" s="4"/>
      <c r="B4971" s="4"/>
      <c r="C4971" s="5"/>
      <c r="D4971" s="4"/>
      <c r="E4971" s="4"/>
      <c r="F4971" s="4"/>
    </row>
    <row r="4972" spans="1:6" x14ac:dyDescent="0.4">
      <c r="A4972" s="4"/>
      <c r="B4972" s="4"/>
      <c r="C4972" s="5"/>
      <c r="D4972" s="4"/>
      <c r="E4972" s="4"/>
      <c r="F4972" s="4"/>
    </row>
    <row r="4973" spans="1:6" x14ac:dyDescent="0.4">
      <c r="A4973" s="4"/>
      <c r="B4973" s="4"/>
      <c r="C4973" s="5"/>
      <c r="D4973" s="4"/>
      <c r="E4973" s="4"/>
      <c r="F4973" s="4"/>
    </row>
    <row r="4974" spans="1:6" x14ac:dyDescent="0.4">
      <c r="A4974" s="4"/>
      <c r="B4974" s="4"/>
      <c r="C4974" s="5"/>
      <c r="D4974" s="4"/>
      <c r="E4974" s="4"/>
      <c r="F4974" s="4"/>
    </row>
    <row r="4975" spans="1:6" x14ac:dyDescent="0.4">
      <c r="A4975" s="4"/>
      <c r="B4975" s="4"/>
      <c r="C4975" s="5"/>
      <c r="D4975" s="4"/>
      <c r="E4975" s="4"/>
      <c r="F4975" s="4"/>
    </row>
    <row r="4976" spans="1:6" x14ac:dyDescent="0.4">
      <c r="A4976" s="4"/>
      <c r="B4976" s="4"/>
      <c r="C4976" s="5"/>
      <c r="D4976" s="4"/>
      <c r="E4976" s="4"/>
      <c r="F4976" s="4"/>
    </row>
    <row r="4977" spans="1:6" x14ac:dyDescent="0.4">
      <c r="A4977" s="4"/>
      <c r="B4977" s="4"/>
      <c r="C4977" s="5"/>
      <c r="D4977" s="4"/>
      <c r="E4977" s="4"/>
      <c r="F4977" s="4"/>
    </row>
    <row r="4978" spans="1:6" x14ac:dyDescent="0.4">
      <c r="A4978" s="4"/>
      <c r="B4978" s="4"/>
      <c r="C4978" s="5"/>
      <c r="D4978" s="4"/>
      <c r="E4978" s="4"/>
      <c r="F4978" s="4"/>
    </row>
    <row r="4979" spans="1:6" x14ac:dyDescent="0.4">
      <c r="A4979" s="4"/>
      <c r="B4979" s="4"/>
      <c r="C4979" s="5"/>
      <c r="D4979" s="4"/>
      <c r="E4979" s="4"/>
      <c r="F4979" s="4"/>
    </row>
    <row r="4980" spans="1:6" x14ac:dyDescent="0.4">
      <c r="A4980" s="4"/>
      <c r="B4980" s="4"/>
      <c r="C4980" s="5"/>
      <c r="D4980" s="4"/>
      <c r="E4980" s="4"/>
      <c r="F4980" s="4"/>
    </row>
    <row r="4981" spans="1:6" x14ac:dyDescent="0.4">
      <c r="A4981" s="4"/>
      <c r="B4981" s="4"/>
      <c r="C4981" s="5"/>
      <c r="D4981" s="4"/>
      <c r="E4981" s="4"/>
      <c r="F4981" s="4"/>
    </row>
    <row r="4982" spans="1:6" x14ac:dyDescent="0.4">
      <c r="A4982" s="4"/>
      <c r="B4982" s="4"/>
      <c r="C4982" s="5"/>
      <c r="D4982" s="4"/>
      <c r="E4982" s="4"/>
      <c r="F4982" s="4"/>
    </row>
    <row r="4983" spans="1:6" x14ac:dyDescent="0.4">
      <c r="A4983" s="4"/>
      <c r="B4983" s="4"/>
      <c r="C4983" s="5"/>
      <c r="D4983" s="4"/>
      <c r="E4983" s="4"/>
      <c r="F4983" s="4"/>
    </row>
    <row r="4984" spans="1:6" x14ac:dyDescent="0.4">
      <c r="A4984" s="4"/>
      <c r="B4984" s="4"/>
      <c r="C4984" s="5"/>
      <c r="D4984" s="4"/>
      <c r="E4984" s="4"/>
      <c r="F4984" s="4"/>
    </row>
    <row r="4985" spans="1:6" x14ac:dyDescent="0.4">
      <c r="A4985" s="4"/>
      <c r="B4985" s="4"/>
      <c r="C4985" s="5"/>
      <c r="D4985" s="4"/>
      <c r="E4985" s="4"/>
      <c r="F4985" s="4"/>
    </row>
    <row r="4986" spans="1:6" x14ac:dyDescent="0.4">
      <c r="A4986" s="4"/>
      <c r="B4986" s="4"/>
      <c r="C4986" s="5"/>
      <c r="D4986" s="4"/>
      <c r="E4986" s="4"/>
      <c r="F4986" s="4"/>
    </row>
    <row r="4987" spans="1:6" x14ac:dyDescent="0.4">
      <c r="A4987" s="4"/>
      <c r="B4987" s="4"/>
      <c r="C4987" s="5"/>
      <c r="D4987" s="4"/>
      <c r="E4987" s="4"/>
      <c r="F4987" s="4"/>
    </row>
    <row r="4988" spans="1:6" x14ac:dyDescent="0.4">
      <c r="A4988" s="4"/>
      <c r="B4988" s="4"/>
      <c r="C4988" s="5"/>
      <c r="D4988" s="4"/>
      <c r="E4988" s="4"/>
      <c r="F4988" s="4"/>
    </row>
    <row r="4989" spans="1:6" x14ac:dyDescent="0.4">
      <c r="A4989" s="4"/>
      <c r="B4989" s="4"/>
      <c r="C4989" s="5"/>
      <c r="D4989" s="4"/>
      <c r="E4989" s="4"/>
      <c r="F4989" s="4"/>
    </row>
    <row r="4990" spans="1:6" x14ac:dyDescent="0.4">
      <c r="A4990" s="4"/>
      <c r="B4990" s="4"/>
      <c r="C4990" s="5"/>
      <c r="D4990" s="4"/>
      <c r="E4990" s="4"/>
      <c r="F4990" s="4"/>
    </row>
    <row r="4991" spans="1:6" x14ac:dyDescent="0.4">
      <c r="A4991" s="4"/>
      <c r="B4991" s="4"/>
      <c r="C4991" s="5"/>
      <c r="D4991" s="4"/>
      <c r="E4991" s="4"/>
      <c r="F4991" s="4"/>
    </row>
    <row r="4992" spans="1:6" x14ac:dyDescent="0.4">
      <c r="A4992" s="4"/>
      <c r="B4992" s="4"/>
      <c r="C4992" s="5"/>
      <c r="D4992" s="4"/>
      <c r="E4992" s="4"/>
      <c r="F4992" s="4"/>
    </row>
    <row r="4993" spans="1:6" x14ac:dyDescent="0.4">
      <c r="A4993" s="4"/>
      <c r="B4993" s="4"/>
      <c r="C4993" s="5"/>
      <c r="D4993" s="4"/>
      <c r="E4993" s="4"/>
      <c r="F4993" s="4"/>
    </row>
    <row r="4994" spans="1:6" x14ac:dyDescent="0.4">
      <c r="A4994" s="4"/>
      <c r="B4994" s="4"/>
      <c r="C4994" s="5"/>
      <c r="D4994" s="4"/>
      <c r="E4994" s="4"/>
      <c r="F4994" s="4"/>
    </row>
    <row r="4995" spans="1:6" x14ac:dyDescent="0.4">
      <c r="A4995" s="4"/>
      <c r="B4995" s="4"/>
      <c r="C4995" s="5"/>
      <c r="D4995" s="4"/>
      <c r="E4995" s="4"/>
      <c r="F4995" s="4"/>
    </row>
    <row r="4996" spans="1:6" x14ac:dyDescent="0.4">
      <c r="A4996" s="4"/>
      <c r="B4996" s="4"/>
      <c r="C4996" s="5"/>
      <c r="D4996" s="4"/>
      <c r="E4996" s="4"/>
      <c r="F4996" s="4"/>
    </row>
    <row r="4997" spans="1:6" x14ac:dyDescent="0.4">
      <c r="A4997" s="4"/>
      <c r="B4997" s="4"/>
      <c r="C4997" s="5"/>
      <c r="D4997" s="4"/>
      <c r="E4997" s="4"/>
      <c r="F4997" s="4"/>
    </row>
    <row r="4998" spans="1:6" x14ac:dyDescent="0.4">
      <c r="A4998" s="4"/>
      <c r="B4998" s="4"/>
      <c r="C4998" s="5"/>
      <c r="D4998" s="4"/>
      <c r="E4998" s="4"/>
      <c r="F4998" s="4"/>
    </row>
    <row r="4999" spans="1:6" x14ac:dyDescent="0.4">
      <c r="A4999" s="4"/>
      <c r="B4999" s="4"/>
      <c r="C4999" s="5"/>
      <c r="D4999" s="4"/>
      <c r="E4999" s="4"/>
      <c r="F4999" s="4"/>
    </row>
    <row r="5000" spans="1:6" x14ac:dyDescent="0.4">
      <c r="A5000" s="4"/>
      <c r="B5000" s="4"/>
      <c r="C5000" s="5"/>
      <c r="D5000" s="4"/>
      <c r="E5000" s="4"/>
      <c r="F5000" s="4"/>
    </row>
    <row r="5001" spans="1:6" x14ac:dyDescent="0.4">
      <c r="A5001" s="4"/>
      <c r="B5001" s="4"/>
      <c r="C5001" s="5"/>
      <c r="D5001" s="4"/>
      <c r="E5001" s="4"/>
      <c r="F5001" s="4"/>
    </row>
    <row r="5002" spans="1:6" x14ac:dyDescent="0.4">
      <c r="A5002" s="4"/>
      <c r="B5002" s="4"/>
      <c r="C5002" s="5"/>
      <c r="D5002" s="4"/>
      <c r="E5002" s="4"/>
      <c r="F5002" s="4"/>
    </row>
    <row r="5003" spans="1:6" x14ac:dyDescent="0.4">
      <c r="A5003" s="4"/>
      <c r="B5003" s="4"/>
      <c r="D5003" s="4"/>
      <c r="E5003" s="4"/>
      <c r="F5003" s="4"/>
    </row>
    <row r="5004" spans="1:6" x14ac:dyDescent="0.4">
      <c r="A5004" s="4"/>
      <c r="B5004" s="4"/>
      <c r="D5004" s="4"/>
      <c r="E5004" s="4"/>
      <c r="F5004" s="4"/>
    </row>
    <row r="5005" spans="1:6" x14ac:dyDescent="0.4">
      <c r="A5005" s="4"/>
      <c r="B5005" s="4"/>
      <c r="D5005" s="4"/>
      <c r="E5005" s="4"/>
      <c r="F5005" s="4"/>
    </row>
    <row r="5006" spans="1:6" x14ac:dyDescent="0.4">
      <c r="A5006" s="4"/>
      <c r="B5006" s="4"/>
      <c r="D5006" s="4"/>
      <c r="E5006" s="4"/>
      <c r="F5006" s="4"/>
    </row>
    <row r="5007" spans="1:6" x14ac:dyDescent="0.4">
      <c r="A5007" s="4"/>
      <c r="B5007" s="4"/>
      <c r="D5007" s="4"/>
      <c r="E5007" s="4"/>
      <c r="F5007" s="4"/>
    </row>
    <row r="5008" spans="1:6" x14ac:dyDescent="0.4">
      <c r="A5008" s="4"/>
      <c r="B5008" s="4"/>
      <c r="D5008" s="4"/>
      <c r="E5008" s="4"/>
      <c r="F5008" s="4"/>
    </row>
    <row r="5009" spans="1:6" x14ac:dyDescent="0.4">
      <c r="A5009" s="4"/>
      <c r="B5009" s="4"/>
      <c r="D5009" s="4"/>
      <c r="E5009" s="4"/>
      <c r="F5009" s="4"/>
    </row>
    <row r="5010" spans="1:6" x14ac:dyDescent="0.4">
      <c r="A5010" s="4"/>
      <c r="B5010" s="4"/>
      <c r="D5010" s="4"/>
      <c r="E5010" s="4"/>
      <c r="F5010" s="4"/>
    </row>
    <row r="5011" spans="1:6" x14ac:dyDescent="0.4">
      <c r="A5011" s="4"/>
      <c r="B5011" s="4"/>
      <c r="D5011" s="4"/>
      <c r="E5011" s="4"/>
      <c r="F5011" s="4"/>
    </row>
    <row r="5012" spans="1:6" x14ac:dyDescent="0.4">
      <c r="A5012" s="4"/>
      <c r="B5012" s="4"/>
      <c r="D5012" s="4"/>
      <c r="E5012" s="4"/>
      <c r="F5012" s="4"/>
    </row>
    <row r="5013" spans="1:6" x14ac:dyDescent="0.4">
      <c r="A5013" s="4"/>
      <c r="B5013" s="4"/>
      <c r="D5013" s="4"/>
      <c r="E5013" s="4"/>
      <c r="F5013" s="4"/>
    </row>
    <row r="5014" spans="1:6" x14ac:dyDescent="0.4">
      <c r="A5014" s="4"/>
      <c r="B5014" s="4"/>
      <c r="D5014" s="4"/>
      <c r="E5014" s="4"/>
      <c r="F5014" s="4"/>
    </row>
    <row r="5015" spans="1:6" x14ac:dyDescent="0.4">
      <c r="A5015" s="4"/>
      <c r="B5015" s="4"/>
      <c r="D5015" s="4"/>
      <c r="E5015" s="4"/>
      <c r="F5015" s="4"/>
    </row>
    <row r="5016" spans="1:6" x14ac:dyDescent="0.4">
      <c r="A5016" s="4"/>
      <c r="B5016" s="4"/>
      <c r="D5016" s="4"/>
      <c r="E5016" s="4"/>
      <c r="F5016" s="4"/>
    </row>
    <row r="5017" spans="1:6" x14ac:dyDescent="0.4">
      <c r="A5017" s="4"/>
      <c r="B5017" s="4"/>
      <c r="D5017" s="4"/>
      <c r="E5017" s="4"/>
      <c r="F5017" s="4"/>
    </row>
    <row r="5018" spans="1:6" x14ac:dyDescent="0.4">
      <c r="A5018" s="4"/>
      <c r="B5018" s="4"/>
      <c r="D5018" s="4"/>
      <c r="E5018" s="4"/>
      <c r="F5018" s="4"/>
    </row>
    <row r="5019" spans="1:6" x14ac:dyDescent="0.4">
      <c r="A5019" s="4"/>
      <c r="B5019" s="4"/>
      <c r="D5019" s="4"/>
      <c r="E5019" s="4"/>
      <c r="F5019" s="4"/>
    </row>
    <row r="5020" spans="1:6" x14ac:dyDescent="0.4">
      <c r="A5020" s="4"/>
      <c r="B5020" s="4"/>
      <c r="D5020" s="4"/>
      <c r="E5020" s="4"/>
      <c r="F5020" s="4"/>
    </row>
    <row r="5021" spans="1:6" x14ac:dyDescent="0.4">
      <c r="A5021" s="4"/>
      <c r="B5021" s="4"/>
      <c r="D5021" s="4"/>
      <c r="E5021" s="4"/>
      <c r="F5021" s="4"/>
    </row>
    <row r="5022" spans="1:6" x14ac:dyDescent="0.4">
      <c r="A5022" s="4"/>
      <c r="B5022" s="4"/>
      <c r="D5022" s="4"/>
      <c r="E5022" s="4"/>
      <c r="F5022" s="4"/>
    </row>
    <row r="5023" spans="1:6" x14ac:dyDescent="0.4">
      <c r="A5023" s="4"/>
      <c r="B5023" s="4"/>
      <c r="D5023" s="4"/>
      <c r="E5023" s="4"/>
      <c r="F5023" s="4"/>
    </row>
    <row r="5024" spans="1:6" x14ac:dyDescent="0.4">
      <c r="A5024" s="4"/>
      <c r="B5024" s="4"/>
      <c r="D5024" s="4"/>
      <c r="E5024" s="4"/>
      <c r="F5024" s="4"/>
    </row>
    <row r="5025" spans="1:6" x14ac:dyDescent="0.4">
      <c r="A5025" s="4"/>
      <c r="B5025" s="4"/>
      <c r="D5025" s="4"/>
      <c r="E5025" s="4"/>
      <c r="F5025" s="4"/>
    </row>
    <row r="5026" spans="1:6" x14ac:dyDescent="0.4">
      <c r="A5026" s="4"/>
      <c r="B5026" s="4"/>
      <c r="D5026" s="4"/>
      <c r="E5026" s="4"/>
      <c r="F5026" s="4"/>
    </row>
    <row r="5027" spans="1:6" x14ac:dyDescent="0.4">
      <c r="A5027" s="4"/>
      <c r="B5027" s="4"/>
      <c r="D5027" s="4"/>
      <c r="E5027" s="4"/>
      <c r="F5027" s="4"/>
    </row>
    <row r="5028" spans="1:6" x14ac:dyDescent="0.4">
      <c r="A5028" s="4"/>
      <c r="B5028" s="4"/>
      <c r="D5028" s="4"/>
      <c r="E5028" s="4"/>
      <c r="F5028" s="4"/>
    </row>
    <row r="5029" spans="1:6" x14ac:dyDescent="0.4">
      <c r="A5029" s="4"/>
      <c r="B5029" s="4"/>
      <c r="D5029" s="4"/>
      <c r="E5029" s="4"/>
      <c r="F5029" s="4"/>
    </row>
    <row r="5030" spans="1:6" x14ac:dyDescent="0.4">
      <c r="A5030" s="4"/>
      <c r="B5030" s="4"/>
      <c r="D5030" s="4"/>
      <c r="E5030" s="4"/>
      <c r="F5030" s="4"/>
    </row>
    <row r="5031" spans="1:6" x14ac:dyDescent="0.4">
      <c r="A5031" s="4"/>
      <c r="B5031" s="4"/>
      <c r="D5031" s="4"/>
      <c r="E5031" s="4"/>
      <c r="F5031" s="4"/>
    </row>
    <row r="5032" spans="1:6" x14ac:dyDescent="0.4">
      <c r="A5032" s="4"/>
      <c r="B5032" s="4"/>
      <c r="D5032" s="4"/>
      <c r="E5032" s="4"/>
      <c r="F5032" s="4"/>
    </row>
    <row r="5033" spans="1:6" x14ac:dyDescent="0.4">
      <c r="A5033" s="4"/>
      <c r="B5033" s="4"/>
      <c r="D5033" s="4"/>
      <c r="E5033" s="4"/>
      <c r="F5033" s="4"/>
    </row>
    <row r="5034" spans="1:6" x14ac:dyDescent="0.4">
      <c r="A5034" s="4"/>
      <c r="B5034" s="4"/>
      <c r="D5034" s="4"/>
      <c r="E5034" s="4"/>
      <c r="F5034" s="4"/>
    </row>
    <row r="5035" spans="1:6" x14ac:dyDescent="0.4">
      <c r="A5035" s="4"/>
      <c r="B5035" s="4"/>
      <c r="D5035" s="4"/>
      <c r="E5035" s="4"/>
      <c r="F5035" s="4"/>
    </row>
    <row r="5036" spans="1:6" x14ac:dyDescent="0.4">
      <c r="A5036" s="4"/>
      <c r="B5036" s="4"/>
      <c r="D5036" s="4"/>
      <c r="E5036" s="4"/>
      <c r="F5036" s="4"/>
    </row>
    <row r="5037" spans="1:6" x14ac:dyDescent="0.4">
      <c r="A5037" s="4"/>
      <c r="B5037" s="4"/>
      <c r="D5037" s="4"/>
      <c r="E5037" s="4"/>
      <c r="F5037" s="4"/>
    </row>
    <row r="5038" spans="1:6" x14ac:dyDescent="0.4">
      <c r="A5038" s="4"/>
      <c r="B5038" s="4"/>
      <c r="D5038" s="4"/>
      <c r="E5038" s="4"/>
      <c r="F5038" s="4"/>
    </row>
    <row r="5039" spans="1:6" x14ac:dyDescent="0.4">
      <c r="A5039" s="4"/>
      <c r="B5039" s="4"/>
      <c r="D5039" s="4"/>
      <c r="E5039" s="4"/>
      <c r="F5039" s="4"/>
    </row>
    <row r="5040" spans="1:6" x14ac:dyDescent="0.4">
      <c r="A5040" s="4"/>
      <c r="B5040" s="4"/>
      <c r="D5040" s="4"/>
      <c r="E5040" s="4"/>
      <c r="F5040" s="4"/>
    </row>
    <row r="5041" spans="1:6" x14ac:dyDescent="0.4">
      <c r="A5041" s="4"/>
      <c r="B5041" s="4"/>
      <c r="D5041" s="4"/>
      <c r="E5041" s="4"/>
      <c r="F5041" s="4"/>
    </row>
    <row r="5042" spans="1:6" x14ac:dyDescent="0.4">
      <c r="A5042" s="4"/>
      <c r="B5042" s="4"/>
      <c r="D5042" s="4"/>
      <c r="E5042" s="4"/>
      <c r="F5042" s="4"/>
    </row>
    <row r="5043" spans="1:6" x14ac:dyDescent="0.4">
      <c r="A5043" s="4"/>
      <c r="B5043" s="4"/>
      <c r="D5043" s="4"/>
      <c r="E5043" s="4"/>
      <c r="F5043" s="4"/>
    </row>
    <row r="5044" spans="1:6" x14ac:dyDescent="0.4">
      <c r="A5044" s="4"/>
      <c r="B5044" s="4"/>
      <c r="D5044" s="4"/>
      <c r="E5044" s="4"/>
      <c r="F5044" s="4"/>
    </row>
    <row r="5045" spans="1:6" x14ac:dyDescent="0.4">
      <c r="A5045" s="4"/>
      <c r="B5045" s="4"/>
      <c r="D5045" s="4"/>
      <c r="E5045" s="4"/>
      <c r="F5045" s="4"/>
    </row>
    <row r="5046" spans="1:6" x14ac:dyDescent="0.4">
      <c r="A5046" s="4"/>
      <c r="B5046" s="4"/>
      <c r="D5046" s="4"/>
      <c r="E5046" s="4"/>
      <c r="F5046" s="4"/>
    </row>
    <row r="5047" spans="1:6" x14ac:dyDescent="0.4">
      <c r="A5047" s="4"/>
      <c r="B5047" s="4"/>
      <c r="D5047" s="4"/>
      <c r="E5047" s="4"/>
      <c r="F5047" s="4"/>
    </row>
    <row r="5048" spans="1:6" x14ac:dyDescent="0.4">
      <c r="A5048" s="4"/>
      <c r="B5048" s="4"/>
      <c r="D5048" s="4"/>
      <c r="E5048" s="4"/>
      <c r="F5048" s="4"/>
    </row>
    <row r="5049" spans="1:6" x14ac:dyDescent="0.4">
      <c r="A5049" s="4"/>
      <c r="B5049" s="4"/>
      <c r="D5049" s="4"/>
      <c r="E5049" s="4"/>
      <c r="F5049" s="4"/>
    </row>
    <row r="5050" spans="1:6" x14ac:dyDescent="0.4">
      <c r="A5050" s="4"/>
      <c r="B5050" s="4"/>
      <c r="D5050" s="4"/>
      <c r="E5050" s="4"/>
      <c r="F5050" s="4"/>
    </row>
    <row r="5051" spans="1:6" x14ac:dyDescent="0.4">
      <c r="A5051" s="4"/>
      <c r="B5051" s="4"/>
      <c r="D5051" s="4"/>
      <c r="E5051" s="4"/>
      <c r="F5051" s="4"/>
    </row>
    <row r="5052" spans="1:6" x14ac:dyDescent="0.4">
      <c r="A5052" s="4"/>
      <c r="B5052" s="4"/>
      <c r="D5052" s="4"/>
      <c r="E5052" s="4"/>
      <c r="F5052" s="4"/>
    </row>
    <row r="5053" spans="1:6" x14ac:dyDescent="0.4">
      <c r="A5053" s="4"/>
      <c r="B5053" s="4"/>
      <c r="D5053" s="4"/>
      <c r="E5053" s="4"/>
      <c r="F5053" s="4"/>
    </row>
    <row r="5054" spans="1:6" x14ac:dyDescent="0.4">
      <c r="A5054" s="4"/>
      <c r="B5054" s="4"/>
      <c r="D5054" s="4"/>
      <c r="E5054" s="4"/>
      <c r="F5054" s="4"/>
    </row>
    <row r="5055" spans="1:6" x14ac:dyDescent="0.4">
      <c r="A5055" s="4"/>
      <c r="B5055" s="4"/>
      <c r="D5055" s="4"/>
      <c r="E5055" s="4"/>
      <c r="F5055" s="4"/>
    </row>
    <row r="5056" spans="1:6" x14ac:dyDescent="0.4">
      <c r="A5056" s="4"/>
      <c r="B5056" s="4"/>
      <c r="D5056" s="4"/>
      <c r="E5056" s="4"/>
      <c r="F5056" s="4"/>
    </row>
    <row r="5057" spans="1:6" x14ac:dyDescent="0.4">
      <c r="A5057" s="4"/>
      <c r="B5057" s="4"/>
      <c r="D5057" s="4"/>
      <c r="E5057" s="4"/>
      <c r="F5057" s="4"/>
    </row>
    <row r="5058" spans="1:6" x14ac:dyDescent="0.4">
      <c r="A5058" s="4"/>
      <c r="B5058" s="4"/>
      <c r="D5058" s="4"/>
      <c r="E5058" s="4"/>
      <c r="F5058" s="4"/>
    </row>
    <row r="5059" spans="1:6" x14ac:dyDescent="0.4">
      <c r="A5059" s="4"/>
      <c r="B5059" s="4"/>
      <c r="D5059" s="4"/>
      <c r="E5059" s="4"/>
      <c r="F5059" s="4"/>
    </row>
    <row r="5060" spans="1:6" x14ac:dyDescent="0.4">
      <c r="A5060" s="4"/>
      <c r="B5060" s="4"/>
      <c r="D5060" s="4"/>
      <c r="E5060" s="4"/>
      <c r="F5060" s="4"/>
    </row>
    <row r="5061" spans="1:6" x14ac:dyDescent="0.4">
      <c r="A5061" s="4"/>
      <c r="B5061" s="4"/>
      <c r="D5061" s="4"/>
      <c r="E5061" s="4"/>
      <c r="F5061" s="4"/>
    </row>
    <row r="5062" spans="1:6" x14ac:dyDescent="0.4">
      <c r="A5062" s="4"/>
      <c r="B5062" s="4"/>
      <c r="D5062" s="4"/>
      <c r="E5062" s="4"/>
      <c r="F5062" s="4"/>
    </row>
    <row r="5063" spans="1:6" x14ac:dyDescent="0.4">
      <c r="A5063" s="4"/>
      <c r="B5063" s="4"/>
      <c r="D5063" s="4"/>
      <c r="E5063" s="4"/>
      <c r="F5063" s="4"/>
    </row>
    <row r="5064" spans="1:6" x14ac:dyDescent="0.4">
      <c r="A5064" s="4"/>
      <c r="B5064" s="4"/>
      <c r="D5064" s="4"/>
      <c r="E5064" s="4"/>
      <c r="F5064" s="4"/>
    </row>
    <row r="5065" spans="1:6" x14ac:dyDescent="0.4">
      <c r="A5065" s="4"/>
      <c r="B5065" s="4"/>
      <c r="D5065" s="4"/>
      <c r="E5065" s="4"/>
      <c r="F5065" s="4"/>
    </row>
    <row r="5066" spans="1:6" x14ac:dyDescent="0.4">
      <c r="A5066" s="4"/>
      <c r="B5066" s="4"/>
      <c r="D5066" s="4"/>
      <c r="E5066" s="4"/>
      <c r="F5066" s="4"/>
    </row>
    <row r="5067" spans="1:6" x14ac:dyDescent="0.4">
      <c r="A5067" s="4"/>
      <c r="B5067" s="4"/>
      <c r="D5067" s="4"/>
      <c r="E5067" s="4"/>
      <c r="F5067" s="4"/>
    </row>
    <row r="5068" spans="1:6" x14ac:dyDescent="0.4">
      <c r="A5068" s="4"/>
      <c r="B5068" s="4"/>
      <c r="D5068" s="4"/>
      <c r="E5068" s="4"/>
      <c r="F5068" s="4"/>
    </row>
    <row r="5069" spans="1:6" x14ac:dyDescent="0.4">
      <c r="A5069" s="4"/>
      <c r="B5069" s="4"/>
      <c r="D5069" s="4"/>
      <c r="E5069" s="4"/>
      <c r="F5069" s="4"/>
    </row>
    <row r="5070" spans="1:6" x14ac:dyDescent="0.4">
      <c r="A5070" s="4"/>
      <c r="B5070" s="4"/>
      <c r="D5070" s="4"/>
      <c r="E5070" s="4"/>
      <c r="F5070" s="4"/>
    </row>
    <row r="5071" spans="1:6" x14ac:dyDescent="0.4">
      <c r="A5071" s="4"/>
      <c r="B5071" s="4"/>
      <c r="D5071" s="4"/>
      <c r="E5071" s="4"/>
      <c r="F5071" s="4"/>
    </row>
    <row r="5072" spans="1:6" x14ac:dyDescent="0.4">
      <c r="A5072" s="4"/>
      <c r="B5072" s="4"/>
      <c r="D5072" s="4"/>
      <c r="E5072" s="4"/>
      <c r="F5072" s="4"/>
    </row>
    <row r="5073" spans="1:6" x14ac:dyDescent="0.4">
      <c r="A5073" s="4"/>
      <c r="B5073" s="4"/>
      <c r="D5073" s="4"/>
      <c r="E5073" s="4"/>
      <c r="F5073" s="4"/>
    </row>
    <row r="5074" spans="1:6" x14ac:dyDescent="0.4">
      <c r="A5074" s="4"/>
      <c r="B5074" s="4"/>
      <c r="D5074" s="4"/>
      <c r="E5074" s="4"/>
      <c r="F5074" s="4"/>
    </row>
    <row r="5075" spans="1:6" x14ac:dyDescent="0.4">
      <c r="A5075" s="4"/>
      <c r="B5075" s="4"/>
      <c r="D5075" s="4"/>
      <c r="E5075" s="4"/>
      <c r="F5075" s="4"/>
    </row>
    <row r="5076" spans="1:6" x14ac:dyDescent="0.4">
      <c r="A5076" s="4"/>
      <c r="B5076" s="4"/>
      <c r="D5076" s="4"/>
      <c r="E5076" s="4"/>
      <c r="F5076" s="4"/>
    </row>
    <row r="5077" spans="1:6" x14ac:dyDescent="0.4">
      <c r="A5077" s="4"/>
      <c r="B5077" s="4"/>
      <c r="D5077" s="4"/>
      <c r="E5077" s="4"/>
      <c r="F5077" s="4"/>
    </row>
    <row r="5078" spans="1:6" x14ac:dyDescent="0.4">
      <c r="A5078" s="4"/>
      <c r="B5078" s="4"/>
      <c r="D5078" s="4"/>
      <c r="E5078" s="4"/>
      <c r="F5078" s="4"/>
    </row>
    <row r="5079" spans="1:6" x14ac:dyDescent="0.4">
      <c r="A5079" s="4"/>
      <c r="B5079" s="4"/>
      <c r="D5079" s="4"/>
      <c r="E5079" s="4"/>
      <c r="F5079" s="4"/>
    </row>
    <row r="5080" spans="1:6" x14ac:dyDescent="0.4">
      <c r="A5080" s="4"/>
      <c r="B5080" s="4"/>
      <c r="D5080" s="4"/>
      <c r="E5080" s="4"/>
      <c r="F5080" s="4"/>
    </row>
    <row r="5081" spans="1:6" x14ac:dyDescent="0.4">
      <c r="A5081" s="4"/>
      <c r="B5081" s="4"/>
      <c r="D5081" s="4"/>
      <c r="E5081" s="4"/>
      <c r="F5081" s="4"/>
    </row>
    <row r="5082" spans="1:6" x14ac:dyDescent="0.4">
      <c r="A5082" s="4"/>
      <c r="B5082" s="4"/>
      <c r="D5082" s="4"/>
      <c r="E5082" s="4"/>
      <c r="F5082" s="4"/>
    </row>
    <row r="5083" spans="1:6" x14ac:dyDescent="0.4">
      <c r="A5083" s="4"/>
      <c r="B5083" s="4"/>
      <c r="D5083" s="4"/>
      <c r="E5083" s="4"/>
      <c r="F5083" s="4"/>
    </row>
    <row r="5084" spans="1:6" x14ac:dyDescent="0.4">
      <c r="A5084" s="4"/>
      <c r="B5084" s="4"/>
      <c r="D5084" s="4"/>
      <c r="E5084" s="4"/>
      <c r="F5084" s="4"/>
    </row>
    <row r="5085" spans="1:6" x14ac:dyDescent="0.4">
      <c r="A5085" s="4"/>
      <c r="B5085" s="4"/>
      <c r="D5085" s="4"/>
      <c r="E5085" s="4"/>
      <c r="F5085" s="4"/>
    </row>
    <row r="5086" spans="1:6" x14ac:dyDescent="0.4">
      <c r="A5086" s="4"/>
      <c r="B5086" s="4"/>
      <c r="D5086" s="4"/>
      <c r="E5086" s="4"/>
      <c r="F5086" s="4"/>
    </row>
    <row r="5087" spans="1:6" x14ac:dyDescent="0.4">
      <c r="A5087" s="4"/>
      <c r="B5087" s="4"/>
      <c r="D5087" s="4"/>
      <c r="E5087" s="4"/>
      <c r="F5087" s="4"/>
    </row>
    <row r="5088" spans="1:6" x14ac:dyDescent="0.4">
      <c r="A5088" s="4"/>
      <c r="B5088" s="4"/>
      <c r="D5088" s="4"/>
      <c r="E5088" s="4"/>
      <c r="F5088" s="4"/>
    </row>
    <row r="5089" spans="1:6" x14ac:dyDescent="0.4">
      <c r="A5089" s="4"/>
      <c r="B5089" s="4"/>
      <c r="D5089" s="4"/>
      <c r="E5089" s="4"/>
      <c r="F5089" s="4"/>
    </row>
    <row r="5090" spans="1:6" x14ac:dyDescent="0.4">
      <c r="A5090" s="4"/>
      <c r="B5090" s="4"/>
      <c r="D5090" s="4"/>
      <c r="E5090" s="4"/>
      <c r="F5090" s="4"/>
    </row>
    <row r="5091" spans="1:6" x14ac:dyDescent="0.4">
      <c r="A5091" s="4"/>
      <c r="B5091" s="4"/>
      <c r="D5091" s="4"/>
      <c r="E5091" s="4"/>
      <c r="F5091" s="4"/>
    </row>
    <row r="5092" spans="1:6" x14ac:dyDescent="0.4">
      <c r="A5092" s="4"/>
      <c r="B5092" s="4"/>
      <c r="D5092" s="4"/>
      <c r="E5092" s="4"/>
      <c r="F5092" s="4"/>
    </row>
    <row r="5093" spans="1:6" x14ac:dyDescent="0.4">
      <c r="A5093" s="4"/>
      <c r="B5093" s="4"/>
      <c r="D5093" s="4"/>
      <c r="E5093" s="4"/>
      <c r="F5093" s="4"/>
    </row>
    <row r="5094" spans="1:6" x14ac:dyDescent="0.4">
      <c r="A5094" s="4"/>
      <c r="B5094" s="4"/>
      <c r="D5094" s="4"/>
      <c r="E5094" s="4"/>
      <c r="F5094" s="4"/>
    </row>
    <row r="5095" spans="1:6" x14ac:dyDescent="0.4">
      <c r="A5095" s="4"/>
      <c r="B5095" s="4"/>
      <c r="D5095" s="4"/>
      <c r="E5095" s="4"/>
      <c r="F5095" s="4"/>
    </row>
    <row r="5096" spans="1:6" x14ac:dyDescent="0.4">
      <c r="A5096" s="4"/>
      <c r="B5096" s="4"/>
      <c r="D5096" s="4"/>
      <c r="E5096" s="4"/>
      <c r="F5096" s="4"/>
    </row>
    <row r="5097" spans="1:6" x14ac:dyDescent="0.4">
      <c r="A5097" s="4"/>
      <c r="B5097" s="4"/>
      <c r="D5097" s="4"/>
      <c r="E5097" s="4"/>
      <c r="F5097" s="4"/>
    </row>
    <row r="5098" spans="1:6" x14ac:dyDescent="0.4">
      <c r="A5098" s="4"/>
      <c r="B5098" s="4"/>
      <c r="D5098" s="4"/>
      <c r="E5098" s="4"/>
      <c r="F5098" s="4"/>
    </row>
    <row r="5099" spans="1:6" x14ac:dyDescent="0.4">
      <c r="A5099" s="4"/>
      <c r="B5099" s="4"/>
      <c r="D5099" s="4"/>
      <c r="E5099" s="4"/>
      <c r="F5099" s="4"/>
    </row>
    <row r="5100" spans="1:6" x14ac:dyDescent="0.4">
      <c r="A5100" s="4"/>
      <c r="B5100" s="4"/>
      <c r="D5100" s="4"/>
      <c r="E5100" s="4"/>
      <c r="F5100" s="4"/>
    </row>
    <row r="5101" spans="1:6" x14ac:dyDescent="0.4">
      <c r="A5101" s="4"/>
      <c r="B5101" s="4"/>
      <c r="D5101" s="4"/>
      <c r="E5101" s="4"/>
      <c r="F5101" s="4"/>
    </row>
    <row r="5102" spans="1:6" x14ac:dyDescent="0.4">
      <c r="A5102" s="4"/>
      <c r="B5102" s="4"/>
      <c r="D5102" s="4"/>
      <c r="E5102" s="4"/>
      <c r="F5102" s="4"/>
    </row>
    <row r="5103" spans="1:6" x14ac:dyDescent="0.4">
      <c r="A5103" s="4"/>
      <c r="B5103" s="4"/>
      <c r="D5103" s="4"/>
      <c r="E5103" s="4"/>
      <c r="F5103" s="4"/>
    </row>
    <row r="5104" spans="1:6" x14ac:dyDescent="0.4">
      <c r="A5104" s="4"/>
      <c r="B5104" s="4"/>
      <c r="D5104" s="4"/>
      <c r="E5104" s="4"/>
      <c r="F5104" s="4"/>
    </row>
    <row r="5105" spans="1:6" x14ac:dyDescent="0.4">
      <c r="A5105" s="4"/>
      <c r="B5105" s="4"/>
      <c r="D5105" s="4"/>
      <c r="E5105" s="4"/>
      <c r="F5105" s="4"/>
    </row>
    <row r="5106" spans="1:6" x14ac:dyDescent="0.4">
      <c r="A5106" s="4"/>
      <c r="B5106" s="4"/>
      <c r="D5106" s="4"/>
      <c r="E5106" s="4"/>
      <c r="F5106" s="4"/>
    </row>
    <row r="5107" spans="1:6" x14ac:dyDescent="0.4">
      <c r="A5107" s="4"/>
      <c r="B5107" s="4"/>
      <c r="D5107" s="4"/>
      <c r="E5107" s="4"/>
      <c r="F5107" s="4"/>
    </row>
    <row r="5108" spans="1:6" x14ac:dyDescent="0.4">
      <c r="A5108" s="4"/>
      <c r="B5108" s="4"/>
      <c r="D5108" s="4"/>
      <c r="E5108" s="4"/>
      <c r="F5108" s="4"/>
    </row>
    <row r="5109" spans="1:6" x14ac:dyDescent="0.4">
      <c r="A5109" s="4"/>
      <c r="B5109" s="4"/>
      <c r="D5109" s="4"/>
      <c r="E5109" s="4"/>
      <c r="F5109" s="4"/>
    </row>
    <row r="5110" spans="1:6" x14ac:dyDescent="0.4">
      <c r="A5110" s="4"/>
      <c r="B5110" s="4"/>
      <c r="D5110" s="4"/>
      <c r="E5110" s="4"/>
      <c r="F5110" s="4"/>
    </row>
    <row r="5111" spans="1:6" x14ac:dyDescent="0.4">
      <c r="A5111" s="4"/>
      <c r="B5111" s="4"/>
      <c r="D5111" s="4"/>
      <c r="E5111" s="4"/>
      <c r="F5111" s="4"/>
    </row>
    <row r="5112" spans="1:6" x14ac:dyDescent="0.4">
      <c r="A5112" s="4"/>
      <c r="B5112" s="4"/>
      <c r="D5112" s="4"/>
      <c r="E5112" s="4"/>
      <c r="F5112" s="4"/>
    </row>
    <row r="5113" spans="1:6" x14ac:dyDescent="0.4">
      <c r="A5113" s="4"/>
      <c r="B5113" s="4"/>
      <c r="D5113" s="4"/>
      <c r="E5113" s="4"/>
      <c r="F5113" s="4"/>
    </row>
    <row r="5114" spans="1:6" x14ac:dyDescent="0.4">
      <c r="A5114" s="4"/>
      <c r="B5114" s="4"/>
      <c r="D5114" s="4"/>
      <c r="E5114" s="4"/>
      <c r="F5114" s="4"/>
    </row>
    <row r="5115" spans="1:6" x14ac:dyDescent="0.4">
      <c r="A5115" s="4"/>
      <c r="B5115" s="4"/>
      <c r="D5115" s="4"/>
      <c r="E5115" s="4"/>
      <c r="F5115" s="4"/>
    </row>
    <row r="5116" spans="1:6" x14ac:dyDescent="0.4">
      <c r="A5116" s="4"/>
      <c r="B5116" s="4"/>
      <c r="D5116" s="4"/>
      <c r="E5116" s="4"/>
      <c r="F5116" s="4"/>
    </row>
    <row r="5117" spans="1:6" x14ac:dyDescent="0.4">
      <c r="A5117" s="4"/>
      <c r="B5117" s="4"/>
      <c r="D5117" s="4"/>
      <c r="E5117" s="4"/>
      <c r="F5117" s="4"/>
    </row>
    <row r="5118" spans="1:6" x14ac:dyDescent="0.4">
      <c r="A5118" s="4"/>
      <c r="B5118" s="4"/>
      <c r="D5118" s="4"/>
      <c r="E5118" s="4"/>
      <c r="F5118" s="4"/>
    </row>
    <row r="5119" spans="1:6" x14ac:dyDescent="0.4">
      <c r="A5119" s="4"/>
      <c r="B5119" s="4"/>
      <c r="D5119" s="4"/>
      <c r="E5119" s="4"/>
      <c r="F5119" s="4"/>
    </row>
    <row r="5120" spans="1:6" x14ac:dyDescent="0.4">
      <c r="A5120" s="4"/>
      <c r="B5120" s="4"/>
      <c r="D5120" s="4"/>
      <c r="E5120" s="4"/>
      <c r="F5120" s="4"/>
    </row>
    <row r="5121" spans="1:6" x14ac:dyDescent="0.4">
      <c r="A5121" s="4"/>
      <c r="B5121" s="4"/>
      <c r="D5121" s="4"/>
      <c r="E5121" s="4"/>
      <c r="F5121" s="4"/>
    </row>
    <row r="5122" spans="1:6" x14ac:dyDescent="0.4">
      <c r="A5122" s="4"/>
      <c r="B5122" s="4"/>
      <c r="D5122" s="4"/>
      <c r="E5122" s="4"/>
      <c r="F5122" s="4"/>
    </row>
    <row r="5123" spans="1:6" x14ac:dyDescent="0.4">
      <c r="A5123" s="4"/>
      <c r="B5123" s="4"/>
      <c r="D5123" s="4"/>
      <c r="E5123" s="4"/>
      <c r="F5123" s="4"/>
    </row>
    <row r="5124" spans="1:6" x14ac:dyDescent="0.4">
      <c r="A5124" s="4"/>
      <c r="B5124" s="4"/>
      <c r="D5124" s="4"/>
      <c r="E5124" s="4"/>
      <c r="F5124" s="4"/>
    </row>
    <row r="5125" spans="1:6" x14ac:dyDescent="0.4">
      <c r="A5125" s="4"/>
      <c r="B5125" s="4"/>
      <c r="D5125" s="4"/>
      <c r="E5125" s="4"/>
      <c r="F5125" s="4"/>
    </row>
    <row r="5126" spans="1:6" x14ac:dyDescent="0.4">
      <c r="A5126" s="4"/>
      <c r="B5126" s="4"/>
      <c r="D5126" s="4"/>
      <c r="E5126" s="4"/>
      <c r="F5126" s="4"/>
    </row>
    <row r="5127" spans="1:6" x14ac:dyDescent="0.4">
      <c r="A5127" s="4"/>
      <c r="B5127" s="4"/>
      <c r="D5127" s="4"/>
      <c r="E5127" s="4"/>
      <c r="F5127" s="4"/>
    </row>
    <row r="5128" spans="1:6" x14ac:dyDescent="0.4">
      <c r="A5128" s="4"/>
      <c r="B5128" s="4"/>
      <c r="D5128" s="4"/>
      <c r="E5128" s="4"/>
      <c r="F5128" s="4"/>
    </row>
    <row r="5129" spans="1:6" x14ac:dyDescent="0.4">
      <c r="A5129" s="4"/>
      <c r="B5129" s="4"/>
      <c r="D5129" s="4"/>
      <c r="E5129" s="4"/>
      <c r="F5129" s="4"/>
    </row>
    <row r="5130" spans="1:6" x14ac:dyDescent="0.4">
      <c r="A5130" s="4"/>
      <c r="B5130" s="4"/>
      <c r="D5130" s="4"/>
      <c r="E5130" s="4"/>
      <c r="F5130" s="4"/>
    </row>
    <row r="5131" spans="1:6" x14ac:dyDescent="0.4">
      <c r="A5131" s="4"/>
      <c r="B5131" s="4"/>
      <c r="D5131" s="4"/>
      <c r="E5131" s="4"/>
      <c r="F5131" s="4"/>
    </row>
    <row r="5132" spans="1:6" x14ac:dyDescent="0.4">
      <c r="A5132" s="4"/>
      <c r="B5132" s="4"/>
      <c r="D5132" s="4"/>
      <c r="E5132" s="4"/>
      <c r="F5132" s="4"/>
    </row>
    <row r="5133" spans="1:6" x14ac:dyDescent="0.4">
      <c r="A5133" s="4"/>
      <c r="B5133" s="4"/>
      <c r="D5133" s="4"/>
      <c r="E5133" s="4"/>
      <c r="F5133" s="4"/>
    </row>
    <row r="5134" spans="1:6" x14ac:dyDescent="0.4">
      <c r="A5134" s="4"/>
      <c r="B5134" s="4"/>
      <c r="D5134" s="4"/>
      <c r="E5134" s="4"/>
      <c r="F5134" s="4"/>
    </row>
    <row r="5135" spans="1:6" x14ac:dyDescent="0.4">
      <c r="A5135" s="4"/>
      <c r="B5135" s="4"/>
      <c r="D5135" s="4"/>
      <c r="E5135" s="4"/>
      <c r="F5135" s="4"/>
    </row>
    <row r="5136" spans="1:6" x14ac:dyDescent="0.4">
      <c r="A5136" s="4"/>
      <c r="B5136" s="4"/>
      <c r="D5136" s="4"/>
      <c r="E5136" s="4"/>
      <c r="F5136" s="4"/>
    </row>
    <row r="5137" spans="1:6" x14ac:dyDescent="0.4">
      <c r="A5137" s="4"/>
      <c r="B5137" s="4"/>
      <c r="D5137" s="4"/>
      <c r="E5137" s="4"/>
      <c r="F5137" s="4"/>
    </row>
    <row r="5138" spans="1:6" x14ac:dyDescent="0.4">
      <c r="A5138" s="4"/>
      <c r="B5138" s="4"/>
      <c r="D5138" s="4"/>
      <c r="E5138" s="4"/>
      <c r="F5138" s="4"/>
    </row>
    <row r="5139" spans="1:6" x14ac:dyDescent="0.4">
      <c r="A5139" s="4"/>
      <c r="B5139" s="4"/>
      <c r="D5139" s="4"/>
      <c r="E5139" s="4"/>
      <c r="F5139" s="4"/>
    </row>
    <row r="5140" spans="1:6" x14ac:dyDescent="0.4">
      <c r="A5140" s="4"/>
      <c r="B5140" s="4"/>
      <c r="D5140" s="4"/>
      <c r="E5140" s="4"/>
      <c r="F5140" s="4"/>
    </row>
    <row r="5141" spans="1:6" x14ac:dyDescent="0.4">
      <c r="A5141" s="4"/>
      <c r="B5141" s="4"/>
      <c r="D5141" s="4"/>
      <c r="E5141" s="4"/>
      <c r="F5141" s="4"/>
    </row>
    <row r="5142" spans="1:6" x14ac:dyDescent="0.4">
      <c r="A5142" s="4"/>
      <c r="B5142" s="4"/>
      <c r="D5142" s="4"/>
      <c r="E5142" s="4"/>
      <c r="F5142" s="4"/>
    </row>
    <row r="5143" spans="1:6" x14ac:dyDescent="0.4">
      <c r="A5143" s="4"/>
      <c r="B5143" s="4"/>
      <c r="D5143" s="4"/>
      <c r="E5143" s="4"/>
      <c r="F5143" s="4"/>
    </row>
    <row r="5144" spans="1:6" x14ac:dyDescent="0.4">
      <c r="A5144" s="4"/>
      <c r="B5144" s="4"/>
      <c r="D5144" s="4"/>
      <c r="E5144" s="4"/>
      <c r="F5144" s="4"/>
    </row>
    <row r="5145" spans="1:6" x14ac:dyDescent="0.4">
      <c r="A5145" s="4"/>
      <c r="B5145" s="4"/>
      <c r="D5145" s="4"/>
      <c r="E5145" s="4"/>
      <c r="F5145" s="4"/>
    </row>
    <row r="5146" spans="1:6" x14ac:dyDescent="0.4">
      <c r="A5146" s="4"/>
      <c r="B5146" s="4"/>
      <c r="D5146" s="4"/>
      <c r="E5146" s="4"/>
      <c r="F5146" s="4"/>
    </row>
    <row r="5147" spans="1:6" x14ac:dyDescent="0.4">
      <c r="A5147" s="4"/>
      <c r="B5147" s="4"/>
      <c r="D5147" s="4"/>
      <c r="E5147" s="4"/>
      <c r="F5147" s="4"/>
    </row>
    <row r="5148" spans="1:6" x14ac:dyDescent="0.4">
      <c r="A5148" s="4"/>
      <c r="B5148" s="4"/>
      <c r="D5148" s="4"/>
      <c r="E5148" s="4"/>
      <c r="F5148" s="4"/>
    </row>
    <row r="5149" spans="1:6" x14ac:dyDescent="0.4">
      <c r="A5149" s="4"/>
      <c r="B5149" s="4"/>
      <c r="D5149" s="4"/>
      <c r="E5149" s="4"/>
      <c r="F5149" s="4"/>
    </row>
    <row r="5150" spans="1:6" x14ac:dyDescent="0.4">
      <c r="A5150" s="4"/>
      <c r="B5150" s="4"/>
      <c r="D5150" s="4"/>
      <c r="E5150" s="4"/>
      <c r="F5150" s="4"/>
    </row>
    <row r="5151" spans="1:6" x14ac:dyDescent="0.4">
      <c r="A5151" s="4"/>
      <c r="B5151" s="4"/>
      <c r="D5151" s="4"/>
      <c r="E5151" s="4"/>
      <c r="F5151" s="4"/>
    </row>
    <row r="5152" spans="1:6" x14ac:dyDescent="0.4">
      <c r="A5152" s="4"/>
      <c r="B5152" s="4"/>
      <c r="D5152" s="4"/>
      <c r="E5152" s="4"/>
      <c r="F5152" s="4"/>
    </row>
    <row r="5153" spans="1:6" x14ac:dyDescent="0.4">
      <c r="A5153" s="4"/>
      <c r="B5153" s="4"/>
      <c r="D5153" s="4"/>
      <c r="E5153" s="4"/>
      <c r="F5153" s="4"/>
    </row>
    <row r="5154" spans="1:6" x14ac:dyDescent="0.4">
      <c r="A5154" s="4"/>
      <c r="B5154" s="4"/>
      <c r="D5154" s="4"/>
      <c r="E5154" s="4"/>
      <c r="F5154" s="4"/>
    </row>
    <row r="5155" spans="1:6" x14ac:dyDescent="0.4">
      <c r="A5155" s="4"/>
      <c r="B5155" s="4"/>
      <c r="D5155" s="4"/>
      <c r="E5155" s="4"/>
      <c r="F5155" s="4"/>
    </row>
    <row r="5156" spans="1:6" x14ac:dyDescent="0.4">
      <c r="A5156" s="4"/>
      <c r="B5156" s="4"/>
      <c r="D5156" s="4"/>
      <c r="E5156" s="4"/>
      <c r="F5156" s="4"/>
    </row>
    <row r="5157" spans="1:6" x14ac:dyDescent="0.4">
      <c r="A5157" s="4"/>
      <c r="B5157" s="4"/>
      <c r="D5157" s="4"/>
      <c r="E5157" s="4"/>
      <c r="F5157" s="4"/>
    </row>
    <row r="5158" spans="1:6" x14ac:dyDescent="0.4">
      <c r="A5158" s="4"/>
      <c r="B5158" s="4"/>
      <c r="D5158" s="4"/>
      <c r="E5158" s="4"/>
      <c r="F5158" s="4"/>
    </row>
    <row r="5159" spans="1:6" x14ac:dyDescent="0.4">
      <c r="A5159" s="4"/>
      <c r="B5159" s="4"/>
      <c r="D5159" s="4"/>
      <c r="E5159" s="4"/>
      <c r="F5159" s="4"/>
    </row>
    <row r="5160" spans="1:6" x14ac:dyDescent="0.4">
      <c r="A5160" s="4"/>
      <c r="B5160" s="4"/>
      <c r="D5160" s="4"/>
      <c r="E5160" s="4"/>
      <c r="F5160" s="4"/>
    </row>
    <row r="5161" spans="1:6" x14ac:dyDescent="0.4">
      <c r="A5161" s="4"/>
      <c r="B5161" s="4"/>
      <c r="D5161" s="4"/>
      <c r="E5161" s="4"/>
      <c r="F5161" s="4"/>
    </row>
    <row r="5162" spans="1:6" x14ac:dyDescent="0.4">
      <c r="A5162" s="4"/>
      <c r="B5162" s="4"/>
      <c r="D5162" s="4"/>
      <c r="E5162" s="4"/>
      <c r="F5162" s="4"/>
    </row>
    <row r="5163" spans="1:6" x14ac:dyDescent="0.4">
      <c r="A5163" s="4"/>
      <c r="B5163" s="4"/>
      <c r="D5163" s="4"/>
      <c r="E5163" s="4"/>
      <c r="F5163" s="4"/>
    </row>
    <row r="5164" spans="1:6" x14ac:dyDescent="0.4">
      <c r="A5164" s="4"/>
      <c r="B5164" s="4"/>
      <c r="D5164" s="4"/>
      <c r="E5164" s="4"/>
      <c r="F5164" s="4"/>
    </row>
    <row r="5165" spans="1:6" x14ac:dyDescent="0.4">
      <c r="A5165" s="4"/>
      <c r="B5165" s="4"/>
      <c r="D5165" s="4"/>
      <c r="E5165" s="4"/>
      <c r="F5165" s="4"/>
    </row>
    <row r="5166" spans="1:6" x14ac:dyDescent="0.4">
      <c r="A5166" s="4"/>
      <c r="B5166" s="4"/>
      <c r="D5166" s="4"/>
      <c r="E5166" s="4"/>
      <c r="F5166" s="4"/>
    </row>
    <row r="5167" spans="1:6" x14ac:dyDescent="0.4">
      <c r="A5167" s="4"/>
      <c r="B5167" s="4"/>
      <c r="D5167" s="4"/>
      <c r="E5167" s="4"/>
      <c r="F5167" s="4"/>
    </row>
    <row r="5168" spans="1:6" x14ac:dyDescent="0.4">
      <c r="A5168" s="4"/>
      <c r="B5168" s="4"/>
      <c r="D5168" s="4"/>
      <c r="E5168" s="4"/>
      <c r="F5168" s="4"/>
    </row>
    <row r="5169" spans="1:6" x14ac:dyDescent="0.4">
      <c r="A5169" s="4"/>
      <c r="B5169" s="4"/>
      <c r="D5169" s="4"/>
      <c r="E5169" s="4"/>
      <c r="F5169" s="4"/>
    </row>
    <row r="5170" spans="1:6" x14ac:dyDescent="0.4">
      <c r="A5170" s="4"/>
      <c r="B5170" s="4"/>
      <c r="D5170" s="4"/>
      <c r="E5170" s="4"/>
      <c r="F5170" s="4"/>
    </row>
    <row r="5171" spans="1:6" x14ac:dyDescent="0.4">
      <c r="A5171" s="4"/>
      <c r="B5171" s="4"/>
      <c r="D5171" s="4"/>
      <c r="E5171" s="4"/>
      <c r="F5171" s="4"/>
    </row>
    <row r="5172" spans="1:6" x14ac:dyDescent="0.4">
      <c r="A5172" s="4"/>
      <c r="B5172" s="4"/>
      <c r="D5172" s="4"/>
      <c r="E5172" s="4"/>
      <c r="F5172" s="4"/>
    </row>
    <row r="5173" spans="1:6" x14ac:dyDescent="0.4">
      <c r="A5173" s="4"/>
      <c r="B5173" s="4"/>
      <c r="D5173" s="4"/>
      <c r="E5173" s="4"/>
      <c r="F5173" s="4"/>
    </row>
    <row r="5174" spans="1:6" x14ac:dyDescent="0.4">
      <c r="A5174" s="4"/>
      <c r="B5174" s="4"/>
      <c r="D5174" s="4"/>
      <c r="E5174" s="4"/>
      <c r="F5174" s="4"/>
    </row>
    <row r="5175" spans="1:6" x14ac:dyDescent="0.4">
      <c r="A5175" s="4"/>
      <c r="B5175" s="4"/>
      <c r="D5175" s="4"/>
      <c r="E5175" s="4"/>
      <c r="F5175" s="4"/>
    </row>
    <row r="5176" spans="1:6" x14ac:dyDescent="0.4">
      <c r="A5176" s="4"/>
      <c r="B5176" s="4"/>
      <c r="D5176" s="4"/>
      <c r="E5176" s="4"/>
      <c r="F5176" s="4"/>
    </row>
    <row r="5177" spans="1:6" x14ac:dyDescent="0.4">
      <c r="A5177" s="4"/>
      <c r="B5177" s="4"/>
      <c r="D5177" s="4"/>
      <c r="E5177" s="4"/>
      <c r="F5177" s="4"/>
    </row>
    <row r="5178" spans="1:6" x14ac:dyDescent="0.4">
      <c r="A5178" s="4"/>
      <c r="B5178" s="4"/>
      <c r="D5178" s="4"/>
      <c r="E5178" s="4"/>
      <c r="F5178" s="4"/>
    </row>
    <row r="5179" spans="1:6" x14ac:dyDescent="0.4">
      <c r="A5179" s="4"/>
      <c r="B5179" s="4"/>
      <c r="D5179" s="4"/>
      <c r="E5179" s="4"/>
      <c r="F5179" s="4"/>
    </row>
    <row r="5180" spans="1:6" x14ac:dyDescent="0.4">
      <c r="A5180" s="4"/>
      <c r="B5180" s="4"/>
      <c r="D5180" s="4"/>
      <c r="E5180" s="4"/>
      <c r="F5180" s="4"/>
    </row>
    <row r="5181" spans="1:6" x14ac:dyDescent="0.4">
      <c r="A5181" s="4"/>
      <c r="B5181" s="4"/>
      <c r="D5181" s="4"/>
      <c r="E5181" s="4"/>
      <c r="F5181" s="4"/>
    </row>
    <row r="5182" spans="1:6" x14ac:dyDescent="0.4">
      <c r="A5182" s="4"/>
      <c r="B5182" s="4"/>
      <c r="D5182" s="4"/>
      <c r="E5182" s="4"/>
      <c r="F5182" s="4"/>
    </row>
    <row r="5183" spans="1:6" x14ac:dyDescent="0.4">
      <c r="A5183" s="4"/>
      <c r="B5183" s="4"/>
      <c r="D5183" s="4"/>
      <c r="E5183" s="4"/>
      <c r="F5183" s="4"/>
    </row>
    <row r="5184" spans="1:6" x14ac:dyDescent="0.4">
      <c r="A5184" s="4"/>
      <c r="B5184" s="4"/>
      <c r="D5184" s="4"/>
      <c r="E5184" s="4"/>
      <c r="F5184" s="4"/>
    </row>
    <row r="5185" spans="1:6" x14ac:dyDescent="0.4">
      <c r="A5185" s="4"/>
      <c r="B5185" s="4"/>
      <c r="D5185" s="4"/>
      <c r="E5185" s="4"/>
      <c r="F5185" s="4"/>
    </row>
    <row r="5186" spans="1:6" x14ac:dyDescent="0.4">
      <c r="A5186" s="4"/>
      <c r="B5186" s="4"/>
      <c r="D5186" s="4"/>
      <c r="E5186" s="4"/>
      <c r="F5186" s="4"/>
    </row>
    <row r="5187" spans="1:6" x14ac:dyDescent="0.4">
      <c r="A5187" s="4"/>
      <c r="B5187" s="4"/>
      <c r="D5187" s="4"/>
      <c r="E5187" s="4"/>
      <c r="F5187" s="4"/>
    </row>
    <row r="5188" spans="1:6" x14ac:dyDescent="0.4">
      <c r="A5188" s="4"/>
      <c r="B5188" s="4"/>
      <c r="D5188" s="4"/>
      <c r="E5188" s="4"/>
      <c r="F5188" s="4"/>
    </row>
    <row r="5189" spans="1:6" x14ac:dyDescent="0.4">
      <c r="A5189" s="4"/>
      <c r="B5189" s="4"/>
      <c r="D5189" s="4"/>
      <c r="E5189" s="4"/>
      <c r="F5189" s="4"/>
    </row>
    <row r="5190" spans="1:6" x14ac:dyDescent="0.4">
      <c r="A5190" s="4"/>
      <c r="B5190" s="4"/>
      <c r="D5190" s="4"/>
      <c r="E5190" s="4"/>
      <c r="F5190" s="4"/>
    </row>
    <row r="5191" spans="1:6" x14ac:dyDescent="0.4">
      <c r="A5191" s="4"/>
      <c r="B5191" s="4"/>
      <c r="D5191" s="4"/>
      <c r="E5191" s="4"/>
      <c r="F5191" s="4"/>
    </row>
    <row r="5192" spans="1:6" x14ac:dyDescent="0.4">
      <c r="A5192" s="4"/>
      <c r="B5192" s="4"/>
      <c r="D5192" s="4"/>
      <c r="E5192" s="4"/>
      <c r="F5192" s="4"/>
    </row>
    <row r="5193" spans="1:6" x14ac:dyDescent="0.4">
      <c r="A5193" s="4"/>
      <c r="B5193" s="4"/>
      <c r="D5193" s="4"/>
      <c r="E5193" s="4"/>
      <c r="F5193" s="4"/>
    </row>
    <row r="5194" spans="1:6" x14ac:dyDescent="0.4">
      <c r="A5194" s="4"/>
      <c r="B5194" s="4"/>
      <c r="D5194" s="4"/>
      <c r="E5194" s="4"/>
      <c r="F5194" s="4"/>
    </row>
    <row r="5195" spans="1:6" x14ac:dyDescent="0.4">
      <c r="A5195" s="4"/>
      <c r="B5195" s="4"/>
      <c r="D5195" s="4"/>
      <c r="E5195" s="4"/>
      <c r="F5195" s="4"/>
    </row>
    <row r="5196" spans="1:6" x14ac:dyDescent="0.4">
      <c r="A5196" s="4"/>
      <c r="B5196" s="4"/>
      <c r="D5196" s="4"/>
      <c r="E5196" s="4"/>
      <c r="F5196" s="4"/>
    </row>
    <row r="5197" spans="1:6" x14ac:dyDescent="0.4">
      <c r="A5197" s="4"/>
      <c r="B5197" s="4"/>
      <c r="D5197" s="4"/>
      <c r="E5197" s="4"/>
      <c r="F5197" s="4"/>
    </row>
    <row r="5198" spans="1:6" x14ac:dyDescent="0.4">
      <c r="A5198" s="4"/>
      <c r="B5198" s="4"/>
      <c r="D5198" s="4"/>
      <c r="E5198" s="4"/>
      <c r="F5198" s="4"/>
    </row>
    <row r="5199" spans="1:6" x14ac:dyDescent="0.4">
      <c r="A5199" s="4"/>
      <c r="B5199" s="4"/>
      <c r="D5199" s="4"/>
      <c r="E5199" s="4"/>
      <c r="F5199" s="4"/>
    </row>
    <row r="5200" spans="1:6" x14ac:dyDescent="0.4">
      <c r="A5200" s="4"/>
      <c r="B5200" s="4"/>
      <c r="D5200" s="4"/>
      <c r="E5200" s="4"/>
      <c r="F5200" s="4"/>
    </row>
    <row r="5201" spans="1:6" x14ac:dyDescent="0.4">
      <c r="A5201" s="4"/>
      <c r="B5201" s="4"/>
      <c r="D5201" s="4"/>
      <c r="E5201" s="4"/>
      <c r="F5201" s="4"/>
    </row>
    <row r="5202" spans="1:6" x14ac:dyDescent="0.4">
      <c r="A5202" s="4"/>
      <c r="B5202" s="4"/>
      <c r="D5202" s="4"/>
      <c r="E5202" s="4"/>
      <c r="F5202" s="4"/>
    </row>
    <row r="5203" spans="1:6" x14ac:dyDescent="0.4">
      <c r="A5203" s="4"/>
      <c r="B5203" s="4"/>
      <c r="D5203" s="4"/>
      <c r="E5203" s="4"/>
      <c r="F5203" s="4"/>
    </row>
    <row r="5204" spans="1:6" x14ac:dyDescent="0.4">
      <c r="A5204" s="4"/>
      <c r="B5204" s="4"/>
      <c r="D5204" s="4"/>
      <c r="E5204" s="4"/>
      <c r="F5204" s="4"/>
    </row>
    <row r="5205" spans="1:6" x14ac:dyDescent="0.4">
      <c r="A5205" s="4"/>
      <c r="B5205" s="4"/>
      <c r="D5205" s="4"/>
      <c r="E5205" s="4"/>
      <c r="F5205" s="4"/>
    </row>
    <row r="5206" spans="1:6" x14ac:dyDescent="0.4">
      <c r="A5206" s="4"/>
      <c r="B5206" s="4"/>
      <c r="D5206" s="4"/>
      <c r="E5206" s="4"/>
      <c r="F5206" s="4"/>
    </row>
    <row r="5207" spans="1:6" x14ac:dyDescent="0.4">
      <c r="A5207" s="4"/>
      <c r="B5207" s="4"/>
      <c r="D5207" s="4"/>
      <c r="E5207" s="4"/>
      <c r="F5207" s="4"/>
    </row>
    <row r="5208" spans="1:6" x14ac:dyDescent="0.4">
      <c r="A5208" s="4"/>
      <c r="B5208" s="4"/>
      <c r="D5208" s="4"/>
      <c r="E5208" s="4"/>
      <c r="F5208" s="4"/>
    </row>
    <row r="5209" spans="1:6" x14ac:dyDescent="0.4">
      <c r="A5209" s="4"/>
      <c r="B5209" s="4"/>
      <c r="D5209" s="4"/>
      <c r="E5209" s="4"/>
      <c r="F5209" s="4"/>
    </row>
    <row r="5210" spans="1:6" x14ac:dyDescent="0.4">
      <c r="A5210" s="4"/>
      <c r="B5210" s="4"/>
      <c r="D5210" s="4"/>
      <c r="E5210" s="4"/>
      <c r="F5210" s="4"/>
    </row>
    <row r="5211" spans="1:6" x14ac:dyDescent="0.4">
      <c r="A5211" s="4"/>
      <c r="B5211" s="4"/>
      <c r="D5211" s="4"/>
      <c r="E5211" s="4"/>
      <c r="F5211" s="4"/>
    </row>
    <row r="5212" spans="1:6" x14ac:dyDescent="0.4">
      <c r="A5212" s="4"/>
      <c r="B5212" s="4"/>
      <c r="D5212" s="4"/>
      <c r="E5212" s="4"/>
      <c r="F5212" s="4"/>
    </row>
    <row r="5213" spans="1:6" x14ac:dyDescent="0.4">
      <c r="A5213" s="4"/>
      <c r="B5213" s="4"/>
      <c r="D5213" s="4"/>
      <c r="E5213" s="4"/>
      <c r="F5213" s="4"/>
    </row>
    <row r="5214" spans="1:6" x14ac:dyDescent="0.4">
      <c r="A5214" s="4"/>
      <c r="B5214" s="4"/>
      <c r="D5214" s="4"/>
      <c r="E5214" s="4"/>
      <c r="F5214" s="4"/>
    </row>
    <row r="5215" spans="1:6" x14ac:dyDescent="0.4">
      <c r="A5215" s="4"/>
      <c r="B5215" s="4"/>
      <c r="D5215" s="4"/>
      <c r="E5215" s="4"/>
      <c r="F5215" s="4"/>
    </row>
    <row r="5216" spans="1:6" x14ac:dyDescent="0.4">
      <c r="A5216" s="4"/>
      <c r="B5216" s="4"/>
      <c r="D5216" s="4"/>
      <c r="E5216" s="4"/>
      <c r="F5216" s="4"/>
    </row>
    <row r="5217" spans="1:6" x14ac:dyDescent="0.4">
      <c r="A5217" s="4"/>
      <c r="B5217" s="4"/>
      <c r="D5217" s="4"/>
      <c r="E5217" s="4"/>
      <c r="F5217" s="4"/>
    </row>
    <row r="5218" spans="1:6" x14ac:dyDescent="0.4">
      <c r="A5218" s="4"/>
      <c r="B5218" s="4"/>
      <c r="D5218" s="4"/>
      <c r="E5218" s="4"/>
      <c r="F5218" s="4"/>
    </row>
    <row r="5219" spans="1:6" x14ac:dyDescent="0.4">
      <c r="A5219" s="4"/>
      <c r="B5219" s="4"/>
      <c r="D5219" s="4"/>
      <c r="E5219" s="4"/>
      <c r="F5219" s="4"/>
    </row>
    <row r="5220" spans="1:6" x14ac:dyDescent="0.4">
      <c r="A5220" s="4"/>
      <c r="B5220" s="4"/>
      <c r="D5220" s="4"/>
      <c r="E5220" s="4"/>
      <c r="F5220" s="4"/>
    </row>
    <row r="5221" spans="1:6" x14ac:dyDescent="0.4">
      <c r="A5221" s="4"/>
      <c r="B5221" s="4"/>
      <c r="D5221" s="4"/>
      <c r="E5221" s="4"/>
      <c r="F5221" s="4"/>
    </row>
    <row r="5222" spans="1:6" x14ac:dyDescent="0.4">
      <c r="A5222" s="4"/>
      <c r="B5222" s="4"/>
      <c r="D5222" s="4"/>
      <c r="E5222" s="4"/>
      <c r="F5222" s="4"/>
    </row>
    <row r="5223" spans="1:6" x14ac:dyDescent="0.4">
      <c r="A5223" s="4"/>
      <c r="B5223" s="4"/>
      <c r="D5223" s="4"/>
      <c r="E5223" s="4"/>
      <c r="F5223" s="4"/>
    </row>
    <row r="5224" spans="1:6" x14ac:dyDescent="0.4">
      <c r="A5224" s="4"/>
      <c r="B5224" s="4"/>
      <c r="D5224" s="4"/>
      <c r="E5224" s="4"/>
      <c r="F5224" s="4"/>
    </row>
    <row r="5225" spans="1:6" x14ac:dyDescent="0.4">
      <c r="A5225" s="4"/>
      <c r="B5225" s="4"/>
      <c r="D5225" s="4"/>
      <c r="E5225" s="4"/>
      <c r="F5225" s="4"/>
    </row>
    <row r="5226" spans="1:6" x14ac:dyDescent="0.4">
      <c r="A5226" s="4"/>
      <c r="B5226" s="4"/>
      <c r="D5226" s="4"/>
      <c r="E5226" s="4"/>
      <c r="F5226" s="4"/>
    </row>
    <row r="5227" spans="1:6" x14ac:dyDescent="0.4">
      <c r="A5227" s="4"/>
      <c r="B5227" s="4"/>
      <c r="D5227" s="4"/>
      <c r="E5227" s="4"/>
      <c r="F5227" s="4"/>
    </row>
    <row r="5228" spans="1:6" x14ac:dyDescent="0.4">
      <c r="A5228" s="4"/>
      <c r="B5228" s="4"/>
      <c r="D5228" s="4"/>
      <c r="E5228" s="4"/>
      <c r="F5228" s="4"/>
    </row>
    <row r="5229" spans="1:6" x14ac:dyDescent="0.4">
      <c r="A5229" s="4"/>
      <c r="B5229" s="4"/>
      <c r="D5229" s="4"/>
      <c r="E5229" s="4"/>
      <c r="F5229" s="4"/>
    </row>
    <row r="5230" spans="1:6" x14ac:dyDescent="0.4">
      <c r="A5230" s="4"/>
      <c r="B5230" s="4"/>
      <c r="D5230" s="4"/>
      <c r="E5230" s="4"/>
      <c r="F5230" s="4"/>
    </row>
    <row r="5231" spans="1:6" x14ac:dyDescent="0.4">
      <c r="A5231" s="4"/>
      <c r="B5231" s="4"/>
      <c r="D5231" s="4"/>
      <c r="E5231" s="4"/>
      <c r="F5231" s="4"/>
    </row>
    <row r="5232" spans="1:6" x14ac:dyDescent="0.4">
      <c r="A5232" s="4"/>
      <c r="B5232" s="4"/>
      <c r="D5232" s="4"/>
      <c r="E5232" s="4"/>
      <c r="F5232" s="4"/>
    </row>
    <row r="5233" spans="1:6" x14ac:dyDescent="0.4">
      <c r="A5233" s="4"/>
      <c r="B5233" s="4"/>
      <c r="D5233" s="4"/>
      <c r="E5233" s="4"/>
      <c r="F5233" s="4"/>
    </row>
    <row r="5234" spans="1:6" x14ac:dyDescent="0.4">
      <c r="A5234" s="4"/>
      <c r="B5234" s="4"/>
      <c r="D5234" s="4"/>
      <c r="E5234" s="4"/>
      <c r="F5234" s="4"/>
    </row>
    <row r="5235" spans="1:6" x14ac:dyDescent="0.4">
      <c r="A5235" s="4"/>
      <c r="B5235" s="4"/>
      <c r="D5235" s="4"/>
      <c r="E5235" s="4"/>
      <c r="F5235" s="4"/>
    </row>
    <row r="5236" spans="1:6" x14ac:dyDescent="0.4">
      <c r="A5236" s="4"/>
      <c r="B5236" s="4"/>
      <c r="D5236" s="4"/>
      <c r="E5236" s="4"/>
      <c r="F5236" s="4"/>
    </row>
    <row r="5237" spans="1:6" x14ac:dyDescent="0.4">
      <c r="A5237" s="4"/>
      <c r="B5237" s="4"/>
      <c r="D5237" s="4"/>
      <c r="E5237" s="4"/>
      <c r="F5237" s="4"/>
    </row>
    <row r="5238" spans="1:6" x14ac:dyDescent="0.4">
      <c r="A5238" s="4"/>
      <c r="B5238" s="4"/>
      <c r="D5238" s="4"/>
      <c r="E5238" s="4"/>
      <c r="F5238" s="4"/>
    </row>
    <row r="5239" spans="1:6" x14ac:dyDescent="0.4">
      <c r="A5239" s="4"/>
      <c r="B5239" s="4"/>
      <c r="D5239" s="4"/>
      <c r="E5239" s="4"/>
      <c r="F5239" s="4"/>
    </row>
    <row r="5240" spans="1:6" x14ac:dyDescent="0.4">
      <c r="A5240" s="4"/>
      <c r="B5240" s="4"/>
      <c r="D5240" s="4"/>
      <c r="E5240" s="4"/>
      <c r="F5240" s="4"/>
    </row>
    <row r="5241" spans="1:6" x14ac:dyDescent="0.4">
      <c r="A5241" s="4"/>
      <c r="B5241" s="4"/>
      <c r="D5241" s="4"/>
      <c r="E5241" s="4"/>
      <c r="F5241" s="4"/>
    </row>
    <row r="5242" spans="1:6" x14ac:dyDescent="0.4">
      <c r="A5242" s="4"/>
      <c r="B5242" s="4"/>
      <c r="D5242" s="4"/>
      <c r="E5242" s="4"/>
      <c r="F5242" s="4"/>
    </row>
    <row r="5243" spans="1:6" x14ac:dyDescent="0.4">
      <c r="A5243" s="4"/>
      <c r="B5243" s="4"/>
      <c r="D5243" s="4"/>
      <c r="E5243" s="4"/>
      <c r="F5243" s="4"/>
    </row>
    <row r="5244" spans="1:6" x14ac:dyDescent="0.4">
      <c r="A5244" s="4"/>
      <c r="B5244" s="4"/>
      <c r="D5244" s="4"/>
      <c r="E5244" s="4"/>
      <c r="F5244" s="4"/>
    </row>
    <row r="5245" spans="1:6" x14ac:dyDescent="0.4">
      <c r="A5245" s="4"/>
      <c r="B5245" s="4"/>
      <c r="D5245" s="4"/>
      <c r="E5245" s="4"/>
      <c r="F5245" s="4"/>
    </row>
    <row r="5246" spans="1:6" x14ac:dyDescent="0.4">
      <c r="A5246" s="4"/>
      <c r="B5246" s="4"/>
      <c r="D5246" s="4"/>
      <c r="E5246" s="4"/>
      <c r="F5246" s="4"/>
    </row>
    <row r="5247" spans="1:6" x14ac:dyDescent="0.4">
      <c r="A5247" s="4"/>
      <c r="B5247" s="4"/>
      <c r="D5247" s="4"/>
      <c r="E5247" s="4"/>
      <c r="F5247" s="4"/>
    </row>
    <row r="5248" spans="1:6" x14ac:dyDescent="0.4">
      <c r="A5248" s="4"/>
      <c r="B5248" s="4"/>
      <c r="D5248" s="4"/>
      <c r="E5248" s="4"/>
      <c r="F5248" s="4"/>
    </row>
    <row r="5249" spans="1:6" x14ac:dyDescent="0.4">
      <c r="A5249" s="4"/>
      <c r="B5249" s="4"/>
      <c r="D5249" s="4"/>
      <c r="E5249" s="4"/>
      <c r="F5249" s="4"/>
    </row>
    <row r="5250" spans="1:6" x14ac:dyDescent="0.4">
      <c r="A5250" s="4"/>
      <c r="B5250" s="4"/>
      <c r="D5250" s="4"/>
      <c r="E5250" s="4"/>
      <c r="F5250" s="4"/>
    </row>
    <row r="5251" spans="1:6" x14ac:dyDescent="0.4">
      <c r="A5251" s="4"/>
      <c r="B5251" s="4"/>
      <c r="D5251" s="4"/>
      <c r="E5251" s="4"/>
      <c r="F5251" s="4"/>
    </row>
    <row r="5252" spans="1:6" x14ac:dyDescent="0.4">
      <c r="A5252" s="4"/>
      <c r="B5252" s="4"/>
      <c r="D5252" s="4"/>
      <c r="E5252" s="4"/>
      <c r="F5252" s="4"/>
    </row>
    <row r="5253" spans="1:6" x14ac:dyDescent="0.4">
      <c r="A5253" s="4"/>
      <c r="B5253" s="4"/>
      <c r="D5253" s="4"/>
      <c r="E5253" s="4"/>
      <c r="F5253" s="4"/>
    </row>
    <row r="5254" spans="1:6" x14ac:dyDescent="0.4">
      <c r="A5254" s="4"/>
      <c r="B5254" s="4"/>
      <c r="D5254" s="4"/>
      <c r="E5254" s="4"/>
      <c r="F5254" s="4"/>
    </row>
    <row r="5255" spans="1:6" x14ac:dyDescent="0.4">
      <c r="A5255" s="4"/>
      <c r="B5255" s="4"/>
      <c r="D5255" s="4"/>
      <c r="E5255" s="4"/>
      <c r="F5255" s="4"/>
    </row>
    <row r="5256" spans="1:6" x14ac:dyDescent="0.4">
      <c r="A5256" s="4"/>
      <c r="B5256" s="4"/>
      <c r="D5256" s="4"/>
      <c r="E5256" s="4"/>
      <c r="F5256" s="4"/>
    </row>
    <row r="5257" spans="1:6" x14ac:dyDescent="0.4">
      <c r="A5257" s="4"/>
      <c r="B5257" s="4"/>
      <c r="D5257" s="4"/>
      <c r="E5257" s="4"/>
      <c r="F5257" s="4"/>
    </row>
    <row r="5258" spans="1:6" x14ac:dyDescent="0.4">
      <c r="A5258" s="4"/>
      <c r="B5258" s="4"/>
      <c r="D5258" s="4"/>
      <c r="E5258" s="4"/>
      <c r="F5258" s="4"/>
    </row>
    <row r="5259" spans="1:6" x14ac:dyDescent="0.4">
      <c r="A5259" s="4"/>
      <c r="B5259" s="4"/>
      <c r="D5259" s="4"/>
      <c r="E5259" s="4"/>
      <c r="F5259" s="4"/>
    </row>
    <row r="5260" spans="1:6" x14ac:dyDescent="0.4">
      <c r="A5260" s="4"/>
      <c r="B5260" s="4"/>
      <c r="D5260" s="4"/>
      <c r="E5260" s="4"/>
      <c r="F5260" s="4"/>
    </row>
    <row r="5261" spans="1:6" x14ac:dyDescent="0.4">
      <c r="A5261" s="4"/>
      <c r="B5261" s="4"/>
      <c r="D5261" s="4"/>
      <c r="E5261" s="4"/>
      <c r="F5261" s="4"/>
    </row>
    <row r="5262" spans="1:6" x14ac:dyDescent="0.4">
      <c r="A5262" s="4"/>
      <c r="B5262" s="4"/>
      <c r="D5262" s="4"/>
      <c r="E5262" s="4"/>
      <c r="F5262" s="4"/>
    </row>
    <row r="5263" spans="1:6" x14ac:dyDescent="0.4">
      <c r="A5263" s="4"/>
      <c r="B5263" s="4"/>
      <c r="D5263" s="4"/>
      <c r="E5263" s="4"/>
      <c r="F5263" s="4"/>
    </row>
    <row r="5264" spans="1:6" x14ac:dyDescent="0.4">
      <c r="A5264" s="4"/>
      <c r="B5264" s="4"/>
      <c r="D5264" s="4"/>
      <c r="E5264" s="4"/>
      <c r="F5264" s="4"/>
    </row>
    <row r="5265" spans="1:6" x14ac:dyDescent="0.4">
      <c r="A5265" s="4"/>
      <c r="B5265" s="4"/>
      <c r="D5265" s="4"/>
      <c r="E5265" s="4"/>
      <c r="F5265" s="4"/>
    </row>
    <row r="5266" spans="1:6" x14ac:dyDescent="0.4">
      <c r="A5266" s="4"/>
      <c r="B5266" s="4"/>
      <c r="D5266" s="4"/>
      <c r="E5266" s="4"/>
      <c r="F5266" s="4"/>
    </row>
    <row r="5267" spans="1:6" x14ac:dyDescent="0.4">
      <c r="A5267" s="4"/>
      <c r="B5267" s="4"/>
      <c r="D5267" s="4"/>
      <c r="E5267" s="4"/>
      <c r="F5267" s="4"/>
    </row>
    <row r="5268" spans="1:6" x14ac:dyDescent="0.4">
      <c r="A5268" s="4"/>
      <c r="B5268" s="4"/>
      <c r="D5268" s="4"/>
      <c r="E5268" s="4"/>
      <c r="F5268" s="4"/>
    </row>
    <row r="5269" spans="1:6" x14ac:dyDescent="0.4">
      <c r="A5269" s="4"/>
      <c r="B5269" s="4"/>
      <c r="D5269" s="4"/>
      <c r="E5269" s="4"/>
      <c r="F5269" s="4"/>
    </row>
    <row r="5270" spans="1:6" x14ac:dyDescent="0.4">
      <c r="A5270" s="4"/>
      <c r="B5270" s="4"/>
      <c r="D5270" s="4"/>
      <c r="E5270" s="4"/>
      <c r="F5270" s="4"/>
    </row>
    <row r="5271" spans="1:6" x14ac:dyDescent="0.4">
      <c r="A5271" s="4"/>
      <c r="B5271" s="4"/>
      <c r="D5271" s="4"/>
      <c r="E5271" s="4"/>
      <c r="F5271" s="4"/>
    </row>
    <row r="5272" spans="1:6" x14ac:dyDescent="0.4">
      <c r="A5272" s="4"/>
      <c r="B5272" s="4"/>
      <c r="D5272" s="4"/>
      <c r="E5272" s="4"/>
      <c r="F5272" s="4"/>
    </row>
    <row r="5273" spans="1:6" x14ac:dyDescent="0.4">
      <c r="A5273" s="4"/>
      <c r="B5273" s="4"/>
      <c r="D5273" s="4"/>
      <c r="E5273" s="4"/>
      <c r="F5273" s="4"/>
    </row>
    <row r="5274" spans="1:6" x14ac:dyDescent="0.4">
      <c r="A5274" s="4"/>
      <c r="B5274" s="4"/>
      <c r="D5274" s="4"/>
      <c r="E5274" s="4"/>
      <c r="F5274" s="4"/>
    </row>
    <row r="5275" spans="1:6" x14ac:dyDescent="0.4">
      <c r="A5275" s="4"/>
      <c r="B5275" s="4"/>
      <c r="D5275" s="4"/>
      <c r="E5275" s="4"/>
      <c r="F5275" s="4"/>
    </row>
    <row r="5276" spans="1:6" x14ac:dyDescent="0.4">
      <c r="A5276" s="4"/>
      <c r="B5276" s="4"/>
      <c r="D5276" s="4"/>
      <c r="E5276" s="4"/>
      <c r="F5276" s="4"/>
    </row>
    <row r="5277" spans="1:6" x14ac:dyDescent="0.4">
      <c r="A5277" s="4"/>
      <c r="B5277" s="4"/>
      <c r="D5277" s="4"/>
      <c r="E5277" s="4"/>
      <c r="F5277" s="4"/>
    </row>
    <row r="5278" spans="1:6" x14ac:dyDescent="0.4">
      <c r="A5278" s="4"/>
      <c r="B5278" s="4"/>
      <c r="D5278" s="4"/>
      <c r="E5278" s="4"/>
      <c r="F5278" s="4"/>
    </row>
    <row r="5279" spans="1:6" x14ac:dyDescent="0.4">
      <c r="A5279" s="4"/>
      <c r="B5279" s="4"/>
      <c r="D5279" s="4"/>
      <c r="E5279" s="4"/>
      <c r="F5279" s="4"/>
    </row>
    <row r="5280" spans="1:6" x14ac:dyDescent="0.4">
      <c r="A5280" s="4"/>
      <c r="B5280" s="4"/>
      <c r="D5280" s="4"/>
      <c r="E5280" s="4"/>
      <c r="F5280" s="4"/>
    </row>
    <row r="5281" spans="1:6" x14ac:dyDescent="0.4">
      <c r="A5281" s="4"/>
      <c r="B5281" s="4"/>
      <c r="D5281" s="4"/>
      <c r="E5281" s="4"/>
      <c r="F5281" s="4"/>
    </row>
    <row r="5282" spans="1:6" x14ac:dyDescent="0.4">
      <c r="A5282" s="4"/>
      <c r="B5282" s="4"/>
      <c r="D5282" s="4"/>
      <c r="E5282" s="4"/>
      <c r="F5282" s="4"/>
    </row>
    <row r="5283" spans="1:6" x14ac:dyDescent="0.4">
      <c r="A5283" s="4"/>
      <c r="B5283" s="4"/>
      <c r="D5283" s="4"/>
      <c r="E5283" s="4"/>
      <c r="F5283" s="4"/>
    </row>
    <row r="5284" spans="1:6" x14ac:dyDescent="0.4">
      <c r="A5284" s="4"/>
      <c r="B5284" s="4"/>
      <c r="D5284" s="4"/>
      <c r="E5284" s="4"/>
      <c r="F5284" s="4"/>
    </row>
    <row r="5285" spans="1:6" x14ac:dyDescent="0.4">
      <c r="A5285" s="4"/>
      <c r="B5285" s="4"/>
      <c r="D5285" s="4"/>
      <c r="E5285" s="4"/>
      <c r="F5285" s="4"/>
    </row>
    <row r="5286" spans="1:6" x14ac:dyDescent="0.4">
      <c r="A5286" s="4"/>
      <c r="B5286" s="4"/>
      <c r="D5286" s="4"/>
      <c r="E5286" s="4"/>
      <c r="F5286" s="4"/>
    </row>
    <row r="5287" spans="1:6" x14ac:dyDescent="0.4">
      <c r="A5287" s="4"/>
      <c r="B5287" s="4"/>
      <c r="D5287" s="4"/>
      <c r="E5287" s="4"/>
      <c r="F5287" s="4"/>
    </row>
    <row r="5288" spans="1:6" x14ac:dyDescent="0.4">
      <c r="A5288" s="4"/>
      <c r="B5288" s="4"/>
      <c r="D5288" s="4"/>
      <c r="E5288" s="4"/>
      <c r="F5288" s="4"/>
    </row>
    <row r="5289" spans="1:6" x14ac:dyDescent="0.4">
      <c r="A5289" s="4"/>
      <c r="B5289" s="4"/>
      <c r="D5289" s="4"/>
      <c r="E5289" s="4"/>
      <c r="F5289" s="4"/>
    </row>
    <row r="5290" spans="1:6" x14ac:dyDescent="0.4">
      <c r="A5290" s="4"/>
      <c r="B5290" s="4"/>
      <c r="D5290" s="4"/>
      <c r="E5290" s="4"/>
      <c r="F5290" s="4"/>
    </row>
    <row r="5291" spans="1:6" x14ac:dyDescent="0.4">
      <c r="A5291" s="4"/>
      <c r="B5291" s="4"/>
      <c r="D5291" s="4"/>
      <c r="E5291" s="4"/>
      <c r="F5291" s="4"/>
    </row>
    <row r="5292" spans="1:6" x14ac:dyDescent="0.4">
      <c r="A5292" s="4"/>
      <c r="B5292" s="4"/>
      <c r="D5292" s="4"/>
      <c r="E5292" s="4"/>
      <c r="F5292" s="4"/>
    </row>
    <row r="5293" spans="1:6" x14ac:dyDescent="0.4">
      <c r="A5293" s="4"/>
      <c r="B5293" s="4"/>
      <c r="D5293" s="4"/>
      <c r="E5293" s="4"/>
      <c r="F5293" s="4"/>
    </row>
    <row r="5294" spans="1:6" x14ac:dyDescent="0.4">
      <c r="A5294" s="4"/>
      <c r="B5294" s="4"/>
      <c r="D5294" s="4"/>
      <c r="E5294" s="4"/>
      <c r="F5294" s="4"/>
    </row>
    <row r="5295" spans="1:6" x14ac:dyDescent="0.4">
      <c r="A5295" s="4"/>
      <c r="B5295" s="4"/>
      <c r="D5295" s="4"/>
      <c r="E5295" s="4"/>
      <c r="F5295" s="4"/>
    </row>
    <row r="5296" spans="1:6" x14ac:dyDescent="0.4">
      <c r="A5296" s="4"/>
      <c r="B5296" s="4"/>
      <c r="D5296" s="4"/>
      <c r="E5296" s="4"/>
      <c r="F5296" s="4"/>
    </row>
    <row r="5297" spans="1:6" x14ac:dyDescent="0.4">
      <c r="A5297" s="4"/>
      <c r="B5297" s="4"/>
      <c r="D5297" s="4"/>
      <c r="E5297" s="4"/>
      <c r="F5297" s="4"/>
    </row>
    <row r="5298" spans="1:6" x14ac:dyDescent="0.4">
      <c r="A5298" s="4"/>
      <c r="B5298" s="4"/>
      <c r="D5298" s="4"/>
      <c r="E5298" s="4"/>
      <c r="F5298" s="4"/>
    </row>
    <row r="5299" spans="1:6" x14ac:dyDescent="0.4">
      <c r="A5299" s="4"/>
      <c r="B5299" s="4"/>
      <c r="D5299" s="4"/>
      <c r="E5299" s="4"/>
      <c r="F5299" s="4"/>
    </row>
    <row r="5300" spans="1:6" x14ac:dyDescent="0.4">
      <c r="A5300" s="4"/>
      <c r="B5300" s="4"/>
      <c r="D5300" s="4"/>
      <c r="E5300" s="4"/>
      <c r="F5300" s="4"/>
    </row>
    <row r="5301" spans="1:6" x14ac:dyDescent="0.4">
      <c r="A5301" s="4"/>
      <c r="B5301" s="4"/>
      <c r="D5301" s="4"/>
      <c r="E5301" s="4"/>
      <c r="F5301" s="4"/>
    </row>
    <row r="5302" spans="1:6" x14ac:dyDescent="0.4">
      <c r="A5302" s="4"/>
      <c r="B5302" s="4"/>
      <c r="D5302" s="4"/>
      <c r="E5302" s="4"/>
      <c r="F5302" s="4"/>
    </row>
    <row r="5303" spans="1:6" x14ac:dyDescent="0.4">
      <c r="A5303" s="4"/>
      <c r="B5303" s="4"/>
      <c r="D5303" s="4"/>
      <c r="E5303" s="4"/>
      <c r="F5303" s="4"/>
    </row>
    <row r="5304" spans="1:6" x14ac:dyDescent="0.4">
      <c r="A5304" s="4"/>
      <c r="B5304" s="4"/>
      <c r="D5304" s="4"/>
      <c r="E5304" s="4"/>
      <c r="F5304" s="4"/>
    </row>
    <row r="5305" spans="1:6" x14ac:dyDescent="0.4">
      <c r="A5305" s="4"/>
      <c r="B5305" s="4"/>
      <c r="D5305" s="4"/>
      <c r="E5305" s="4"/>
      <c r="F5305" s="4"/>
    </row>
    <row r="5306" spans="1:6" x14ac:dyDescent="0.4">
      <c r="A5306" s="4"/>
      <c r="B5306" s="4"/>
      <c r="D5306" s="4"/>
      <c r="E5306" s="4"/>
      <c r="F5306" s="4"/>
    </row>
    <row r="5307" spans="1:6" x14ac:dyDescent="0.4">
      <c r="A5307" s="4"/>
      <c r="B5307" s="4"/>
      <c r="D5307" s="4"/>
      <c r="E5307" s="4"/>
      <c r="F5307" s="4"/>
    </row>
    <row r="5308" spans="1:6" x14ac:dyDescent="0.4">
      <c r="A5308" s="4"/>
      <c r="B5308" s="4"/>
      <c r="D5308" s="4"/>
      <c r="E5308" s="4"/>
      <c r="F5308" s="4"/>
    </row>
    <row r="5309" spans="1:6" x14ac:dyDescent="0.4">
      <c r="A5309" s="4"/>
      <c r="B5309" s="4"/>
      <c r="D5309" s="4"/>
      <c r="E5309" s="4"/>
      <c r="F5309" s="4"/>
    </row>
    <row r="5310" spans="1:6" x14ac:dyDescent="0.4">
      <c r="A5310" s="4"/>
      <c r="B5310" s="4"/>
      <c r="D5310" s="4"/>
      <c r="E5310" s="4"/>
      <c r="F5310" s="4"/>
    </row>
    <row r="5311" spans="1:6" x14ac:dyDescent="0.4">
      <c r="A5311" s="4"/>
      <c r="B5311" s="4"/>
      <c r="D5311" s="4"/>
      <c r="E5311" s="4"/>
      <c r="F5311" s="4"/>
    </row>
    <row r="5312" spans="1:6" x14ac:dyDescent="0.4">
      <c r="A5312" s="4"/>
      <c r="B5312" s="4"/>
      <c r="D5312" s="4"/>
      <c r="E5312" s="4"/>
      <c r="F5312" s="4"/>
    </row>
    <row r="5313" spans="1:6" x14ac:dyDescent="0.4">
      <c r="A5313" s="4"/>
      <c r="B5313" s="4"/>
      <c r="D5313" s="4"/>
      <c r="E5313" s="4"/>
      <c r="F5313" s="4"/>
    </row>
    <row r="5314" spans="1:6" x14ac:dyDescent="0.4">
      <c r="A5314" s="4"/>
      <c r="B5314" s="4"/>
      <c r="D5314" s="4"/>
      <c r="E5314" s="4"/>
      <c r="F5314" s="4"/>
    </row>
    <row r="5315" spans="1:6" x14ac:dyDescent="0.4">
      <c r="A5315" s="4"/>
      <c r="B5315" s="4"/>
      <c r="D5315" s="4"/>
      <c r="E5315" s="4"/>
      <c r="F5315" s="4"/>
    </row>
    <row r="5316" spans="1:6" x14ac:dyDescent="0.4">
      <c r="A5316" s="4"/>
      <c r="B5316" s="4"/>
      <c r="D5316" s="4"/>
      <c r="E5316" s="4"/>
      <c r="F5316" s="4"/>
    </row>
    <row r="5317" spans="1:6" x14ac:dyDescent="0.4">
      <c r="A5317" s="4"/>
      <c r="B5317" s="4"/>
      <c r="D5317" s="4"/>
      <c r="E5317" s="4"/>
      <c r="F5317" s="4"/>
    </row>
    <row r="5318" spans="1:6" x14ac:dyDescent="0.4">
      <c r="A5318" s="4"/>
      <c r="B5318" s="4"/>
      <c r="D5318" s="4"/>
      <c r="E5318" s="4"/>
      <c r="F5318" s="4"/>
    </row>
    <row r="5319" spans="1:6" x14ac:dyDescent="0.4">
      <c r="A5319" s="4"/>
      <c r="B5319" s="4"/>
      <c r="D5319" s="4"/>
      <c r="E5319" s="4"/>
      <c r="F5319" s="4"/>
    </row>
    <row r="5320" spans="1:6" x14ac:dyDescent="0.4">
      <c r="A5320" s="4"/>
      <c r="B5320" s="4"/>
      <c r="D5320" s="4"/>
      <c r="E5320" s="4"/>
      <c r="F5320" s="4"/>
    </row>
    <row r="5321" spans="1:6" x14ac:dyDescent="0.4">
      <c r="A5321" s="4"/>
      <c r="B5321" s="4"/>
      <c r="D5321" s="4"/>
      <c r="E5321" s="4"/>
      <c r="F5321" s="4"/>
    </row>
    <row r="5322" spans="1:6" x14ac:dyDescent="0.4">
      <c r="A5322" s="4"/>
      <c r="B5322" s="4"/>
      <c r="D5322" s="4"/>
      <c r="E5322" s="4"/>
      <c r="F5322" s="4"/>
    </row>
    <row r="5323" spans="1:6" x14ac:dyDescent="0.4">
      <c r="A5323" s="4"/>
      <c r="B5323" s="4"/>
      <c r="D5323" s="4"/>
      <c r="E5323" s="4"/>
      <c r="F5323" s="4"/>
    </row>
    <row r="5324" spans="1:6" x14ac:dyDescent="0.4">
      <c r="A5324" s="4"/>
      <c r="B5324" s="4"/>
      <c r="D5324" s="4"/>
      <c r="E5324" s="4"/>
      <c r="F5324" s="4"/>
    </row>
    <row r="5325" spans="1:6" x14ac:dyDescent="0.4">
      <c r="A5325" s="4"/>
      <c r="B5325" s="4"/>
      <c r="D5325" s="4"/>
      <c r="E5325" s="4"/>
      <c r="F5325" s="4"/>
    </row>
    <row r="5326" spans="1:6" x14ac:dyDescent="0.4">
      <c r="A5326" s="4"/>
      <c r="B5326" s="4"/>
      <c r="D5326" s="4"/>
      <c r="E5326" s="4"/>
      <c r="F5326" s="4"/>
    </row>
    <row r="5327" spans="1:6" x14ac:dyDescent="0.4">
      <c r="A5327" s="4"/>
      <c r="B5327" s="4"/>
      <c r="D5327" s="4"/>
      <c r="E5327" s="4"/>
      <c r="F5327" s="4"/>
    </row>
    <row r="5328" spans="1:6" x14ac:dyDescent="0.4">
      <c r="A5328" s="4"/>
      <c r="B5328" s="4"/>
      <c r="D5328" s="4"/>
      <c r="E5328" s="4"/>
      <c r="F5328" s="4"/>
    </row>
    <row r="5329" spans="1:6" x14ac:dyDescent="0.4">
      <c r="A5329" s="4"/>
      <c r="B5329" s="4"/>
      <c r="D5329" s="4"/>
      <c r="E5329" s="4"/>
      <c r="F5329" s="4"/>
    </row>
    <row r="5330" spans="1:6" x14ac:dyDescent="0.4">
      <c r="A5330" s="4"/>
      <c r="B5330" s="4"/>
      <c r="D5330" s="4"/>
      <c r="E5330" s="4"/>
      <c r="F5330" s="4"/>
    </row>
    <row r="5331" spans="1:6" x14ac:dyDescent="0.4">
      <c r="A5331" s="4"/>
      <c r="B5331" s="4"/>
      <c r="D5331" s="4"/>
      <c r="E5331" s="4"/>
      <c r="F5331" s="4"/>
    </row>
    <row r="5332" spans="1:6" x14ac:dyDescent="0.4">
      <c r="A5332" s="4"/>
      <c r="B5332" s="4"/>
      <c r="D5332" s="4"/>
      <c r="E5332" s="4"/>
      <c r="F5332" s="4"/>
    </row>
    <row r="5333" spans="1:6" x14ac:dyDescent="0.4">
      <c r="A5333" s="4"/>
      <c r="B5333" s="4"/>
      <c r="D5333" s="4"/>
      <c r="E5333" s="4"/>
      <c r="F5333" s="4"/>
    </row>
    <row r="5334" spans="1:6" x14ac:dyDescent="0.4">
      <c r="A5334" s="4"/>
      <c r="B5334" s="4"/>
      <c r="D5334" s="4"/>
      <c r="E5334" s="4"/>
      <c r="F5334" s="4"/>
    </row>
    <row r="5335" spans="1:6" x14ac:dyDescent="0.4">
      <c r="A5335" s="4"/>
      <c r="B5335" s="4"/>
      <c r="D5335" s="4"/>
      <c r="E5335" s="4"/>
      <c r="F5335" s="4"/>
    </row>
    <row r="5336" spans="1:6" x14ac:dyDescent="0.4">
      <c r="A5336" s="4"/>
      <c r="B5336" s="4"/>
      <c r="D5336" s="4"/>
      <c r="E5336" s="4"/>
      <c r="F5336" s="4"/>
    </row>
    <row r="5337" spans="1:6" x14ac:dyDescent="0.4">
      <c r="A5337" s="4"/>
      <c r="B5337" s="4"/>
      <c r="D5337" s="4"/>
      <c r="E5337" s="4"/>
      <c r="F5337" s="4"/>
    </row>
    <row r="5338" spans="1:6" x14ac:dyDescent="0.4">
      <c r="A5338" s="4"/>
      <c r="B5338" s="4"/>
      <c r="D5338" s="4"/>
      <c r="E5338" s="4"/>
      <c r="F5338" s="4"/>
    </row>
    <row r="5339" spans="1:6" x14ac:dyDescent="0.4">
      <c r="A5339" s="4"/>
      <c r="B5339" s="4"/>
      <c r="D5339" s="4"/>
      <c r="E5339" s="4"/>
      <c r="F5339" s="4"/>
    </row>
    <row r="5340" spans="1:6" x14ac:dyDescent="0.4">
      <c r="A5340" s="4"/>
      <c r="B5340" s="4"/>
      <c r="D5340" s="4"/>
      <c r="E5340" s="4"/>
      <c r="F5340" s="4"/>
    </row>
    <row r="5341" spans="1:6" x14ac:dyDescent="0.4">
      <c r="A5341" s="4"/>
      <c r="B5341" s="4"/>
      <c r="D5341" s="4"/>
      <c r="E5341" s="4"/>
      <c r="F5341" s="4"/>
    </row>
    <row r="5342" spans="1:6" x14ac:dyDescent="0.4">
      <c r="A5342" s="4"/>
      <c r="B5342" s="4"/>
      <c r="D5342" s="4"/>
      <c r="E5342" s="4"/>
      <c r="F5342" s="4"/>
    </row>
    <row r="5343" spans="1:6" x14ac:dyDescent="0.4">
      <c r="A5343" s="4"/>
      <c r="B5343" s="4"/>
      <c r="D5343" s="4"/>
      <c r="E5343" s="4"/>
      <c r="F5343" s="4"/>
    </row>
    <row r="5344" spans="1:6" x14ac:dyDescent="0.4">
      <c r="A5344" s="4"/>
      <c r="B5344" s="4"/>
      <c r="D5344" s="4"/>
      <c r="E5344" s="4"/>
      <c r="F5344" s="4"/>
    </row>
    <row r="5345" spans="1:6" x14ac:dyDescent="0.4">
      <c r="A5345" s="4"/>
      <c r="B5345" s="4"/>
      <c r="D5345" s="4"/>
      <c r="E5345" s="4"/>
      <c r="F5345" s="4"/>
    </row>
    <row r="5346" spans="1:6" x14ac:dyDescent="0.4">
      <c r="A5346" s="4"/>
      <c r="B5346" s="4"/>
      <c r="D5346" s="4"/>
      <c r="E5346" s="4"/>
      <c r="F5346" s="4"/>
    </row>
    <row r="5347" spans="1:6" x14ac:dyDescent="0.4">
      <c r="A5347" s="4"/>
      <c r="B5347" s="4"/>
      <c r="D5347" s="4"/>
      <c r="E5347" s="4"/>
      <c r="F5347" s="4"/>
    </row>
    <row r="5348" spans="1:6" x14ac:dyDescent="0.4">
      <c r="A5348" s="4"/>
      <c r="B5348" s="4"/>
      <c r="D5348" s="4"/>
      <c r="E5348" s="4"/>
      <c r="F5348" s="4"/>
    </row>
    <row r="5349" spans="1:6" x14ac:dyDescent="0.4">
      <c r="A5349" s="4"/>
      <c r="B5349" s="4"/>
      <c r="D5349" s="4"/>
      <c r="E5349" s="4"/>
      <c r="F5349" s="4"/>
    </row>
    <row r="5350" spans="1:6" x14ac:dyDescent="0.4">
      <c r="A5350" s="4"/>
      <c r="B5350" s="4"/>
      <c r="D5350" s="4"/>
      <c r="E5350" s="4"/>
      <c r="F5350" s="4"/>
    </row>
    <row r="5351" spans="1:6" x14ac:dyDescent="0.4">
      <c r="A5351" s="4"/>
      <c r="B5351" s="4"/>
      <c r="D5351" s="4"/>
      <c r="E5351" s="4"/>
      <c r="F5351" s="4"/>
    </row>
    <row r="5352" spans="1:6" x14ac:dyDescent="0.4">
      <c r="A5352" s="4"/>
      <c r="B5352" s="4"/>
      <c r="D5352" s="4"/>
      <c r="E5352" s="4"/>
      <c r="F5352" s="4"/>
    </row>
    <row r="5353" spans="1:6" x14ac:dyDescent="0.4">
      <c r="A5353" s="4"/>
      <c r="B5353" s="4"/>
      <c r="D5353" s="4"/>
      <c r="E5353" s="4"/>
      <c r="F5353" s="4"/>
    </row>
    <row r="5354" spans="1:6" x14ac:dyDescent="0.4">
      <c r="A5354" s="4"/>
      <c r="B5354" s="4"/>
      <c r="D5354" s="4"/>
      <c r="E5354" s="4"/>
      <c r="F5354" s="4"/>
    </row>
    <row r="5355" spans="1:6" x14ac:dyDescent="0.4">
      <c r="A5355" s="4"/>
      <c r="B5355" s="4"/>
      <c r="D5355" s="4"/>
      <c r="E5355" s="4"/>
      <c r="F5355" s="4"/>
    </row>
    <row r="5356" spans="1:6" x14ac:dyDescent="0.4">
      <c r="A5356" s="4"/>
      <c r="B5356" s="4"/>
      <c r="D5356" s="4"/>
      <c r="E5356" s="4"/>
      <c r="F5356" s="4"/>
    </row>
    <row r="5357" spans="1:6" x14ac:dyDescent="0.4">
      <c r="A5357" s="4"/>
      <c r="B5357" s="4"/>
      <c r="D5357" s="4"/>
      <c r="E5357" s="4"/>
      <c r="F5357" s="4"/>
    </row>
    <row r="5358" spans="1:6" x14ac:dyDescent="0.4">
      <c r="A5358" s="4"/>
      <c r="B5358" s="4"/>
      <c r="D5358" s="4"/>
      <c r="E5358" s="4"/>
      <c r="F5358" s="4"/>
    </row>
    <row r="5359" spans="1:6" x14ac:dyDescent="0.4">
      <c r="A5359" s="4"/>
      <c r="B5359" s="4"/>
      <c r="D5359" s="4"/>
      <c r="E5359" s="4"/>
      <c r="F5359" s="4"/>
    </row>
    <row r="5360" spans="1:6" x14ac:dyDescent="0.4">
      <c r="A5360" s="4"/>
      <c r="B5360" s="4"/>
      <c r="D5360" s="4"/>
      <c r="E5360" s="4"/>
      <c r="F5360" s="4"/>
    </row>
    <row r="5361" spans="1:6" x14ac:dyDescent="0.4">
      <c r="A5361" s="4"/>
      <c r="B5361" s="4"/>
      <c r="D5361" s="4"/>
      <c r="E5361" s="4"/>
      <c r="F5361" s="4"/>
    </row>
    <row r="5362" spans="1:6" x14ac:dyDescent="0.4">
      <c r="A5362" s="4"/>
      <c r="B5362" s="4"/>
      <c r="D5362" s="4"/>
      <c r="E5362" s="4"/>
      <c r="F5362" s="4"/>
    </row>
    <row r="5363" spans="1:6" x14ac:dyDescent="0.4">
      <c r="A5363" s="4"/>
      <c r="B5363" s="4"/>
      <c r="D5363" s="4"/>
      <c r="E5363" s="4"/>
      <c r="F5363" s="4"/>
    </row>
    <row r="5364" spans="1:6" x14ac:dyDescent="0.4">
      <c r="A5364" s="4"/>
      <c r="B5364" s="4"/>
      <c r="D5364" s="4"/>
      <c r="E5364" s="4"/>
      <c r="F5364" s="4"/>
    </row>
    <row r="5365" spans="1:6" x14ac:dyDescent="0.4">
      <c r="A5365" s="4"/>
      <c r="B5365" s="4"/>
      <c r="D5365" s="4"/>
      <c r="E5365" s="4"/>
      <c r="F5365" s="4"/>
    </row>
    <row r="5366" spans="1:6" x14ac:dyDescent="0.4">
      <c r="A5366" s="4"/>
      <c r="B5366" s="4"/>
      <c r="D5366" s="4"/>
      <c r="E5366" s="4"/>
      <c r="F5366" s="4"/>
    </row>
    <row r="5367" spans="1:6" x14ac:dyDescent="0.4">
      <c r="A5367" s="4"/>
      <c r="B5367" s="4"/>
      <c r="D5367" s="4"/>
      <c r="E5367" s="4"/>
      <c r="F5367" s="4"/>
    </row>
    <row r="5368" spans="1:6" x14ac:dyDescent="0.4">
      <c r="A5368" s="4"/>
      <c r="B5368" s="4"/>
      <c r="D5368" s="4"/>
      <c r="E5368" s="4"/>
      <c r="F5368" s="4"/>
    </row>
    <row r="5369" spans="1:6" x14ac:dyDescent="0.4">
      <c r="A5369" s="4"/>
      <c r="B5369" s="4"/>
      <c r="D5369" s="4"/>
      <c r="E5369" s="4"/>
      <c r="F5369" s="4"/>
    </row>
    <row r="5370" spans="1:6" x14ac:dyDescent="0.4">
      <c r="A5370" s="4"/>
      <c r="B5370" s="4"/>
      <c r="D5370" s="4"/>
      <c r="E5370" s="4"/>
      <c r="F5370" s="4"/>
    </row>
    <row r="5371" spans="1:6" x14ac:dyDescent="0.4">
      <c r="A5371" s="4"/>
      <c r="B5371" s="4"/>
      <c r="D5371" s="4"/>
      <c r="E5371" s="4"/>
      <c r="F5371" s="4"/>
    </row>
    <row r="5372" spans="1:6" x14ac:dyDescent="0.4">
      <c r="A5372" s="4"/>
      <c r="B5372" s="4"/>
      <c r="D5372" s="4"/>
      <c r="E5372" s="4"/>
      <c r="F5372" s="4"/>
    </row>
    <row r="5373" spans="1:6" x14ac:dyDescent="0.4">
      <c r="A5373" s="4"/>
      <c r="B5373" s="4"/>
      <c r="D5373" s="4"/>
      <c r="E5373" s="4"/>
      <c r="F5373" s="4"/>
    </row>
    <row r="5374" spans="1:6" x14ac:dyDescent="0.4">
      <c r="A5374" s="4"/>
      <c r="B5374" s="4"/>
      <c r="D5374" s="4"/>
      <c r="E5374" s="4"/>
      <c r="F5374" s="4"/>
    </row>
    <row r="5375" spans="1:6" x14ac:dyDescent="0.4">
      <c r="A5375" s="4"/>
      <c r="B5375" s="4"/>
      <c r="D5375" s="4"/>
      <c r="E5375" s="4"/>
      <c r="F5375" s="4"/>
    </row>
    <row r="5376" spans="1:6" x14ac:dyDescent="0.4">
      <c r="A5376" s="4"/>
      <c r="B5376" s="4"/>
      <c r="D5376" s="4"/>
      <c r="E5376" s="4"/>
      <c r="F5376" s="4"/>
    </row>
    <row r="5377" spans="1:6" x14ac:dyDescent="0.4">
      <c r="A5377" s="4"/>
      <c r="B5377" s="4"/>
      <c r="D5377" s="4"/>
      <c r="E5377" s="4"/>
      <c r="F5377" s="4"/>
    </row>
    <row r="5378" spans="1:6" x14ac:dyDescent="0.4">
      <c r="A5378" s="4"/>
      <c r="B5378" s="4"/>
      <c r="D5378" s="4"/>
      <c r="E5378" s="4"/>
      <c r="F5378" s="4"/>
    </row>
    <row r="5379" spans="1:6" x14ac:dyDescent="0.4">
      <c r="A5379" s="4"/>
      <c r="B5379" s="4"/>
      <c r="D5379" s="4"/>
      <c r="E5379" s="4"/>
      <c r="F5379" s="4"/>
    </row>
    <row r="5380" spans="1:6" x14ac:dyDescent="0.4">
      <c r="A5380" s="4"/>
      <c r="B5380" s="4"/>
      <c r="D5380" s="4"/>
      <c r="E5380" s="4"/>
      <c r="F5380" s="4"/>
    </row>
    <row r="5381" spans="1:6" x14ac:dyDescent="0.4">
      <c r="A5381" s="4"/>
      <c r="B5381" s="4"/>
      <c r="D5381" s="4"/>
      <c r="E5381" s="4"/>
      <c r="F5381" s="4"/>
    </row>
    <row r="5382" spans="1:6" x14ac:dyDescent="0.4">
      <c r="A5382" s="4"/>
      <c r="B5382" s="4"/>
      <c r="D5382" s="4"/>
      <c r="E5382" s="4"/>
      <c r="F5382" s="4"/>
    </row>
    <row r="5383" spans="1:6" x14ac:dyDescent="0.4">
      <c r="A5383" s="4"/>
      <c r="B5383" s="4"/>
      <c r="D5383" s="4"/>
      <c r="E5383" s="4"/>
      <c r="F5383" s="4"/>
    </row>
    <row r="5384" spans="1:6" x14ac:dyDescent="0.4">
      <c r="A5384" s="4"/>
      <c r="B5384" s="4"/>
      <c r="D5384" s="4"/>
      <c r="E5384" s="4"/>
      <c r="F5384" s="4"/>
    </row>
    <row r="5385" spans="1:6" x14ac:dyDescent="0.4">
      <c r="A5385" s="4"/>
      <c r="B5385" s="4"/>
      <c r="D5385" s="4"/>
      <c r="E5385" s="4"/>
      <c r="F5385" s="4"/>
    </row>
    <row r="5386" spans="1:6" x14ac:dyDescent="0.4">
      <c r="A5386" s="4"/>
      <c r="B5386" s="4"/>
      <c r="D5386" s="4"/>
      <c r="E5386" s="4"/>
      <c r="F5386" s="4"/>
    </row>
    <row r="5387" spans="1:6" x14ac:dyDescent="0.4">
      <c r="A5387" s="4"/>
      <c r="B5387" s="4"/>
      <c r="D5387" s="4"/>
      <c r="E5387" s="4"/>
      <c r="F5387" s="4"/>
    </row>
    <row r="5388" spans="1:6" x14ac:dyDescent="0.4">
      <c r="A5388" s="4"/>
      <c r="B5388" s="4"/>
      <c r="D5388" s="4"/>
      <c r="E5388" s="4"/>
      <c r="F5388" s="4"/>
    </row>
    <row r="5389" spans="1:6" x14ac:dyDescent="0.4">
      <c r="A5389" s="4"/>
      <c r="B5389" s="4"/>
      <c r="D5389" s="4"/>
      <c r="E5389" s="4"/>
      <c r="F5389" s="4"/>
    </row>
    <row r="5390" spans="1:6" x14ac:dyDescent="0.4">
      <c r="A5390" s="4"/>
      <c r="B5390" s="4"/>
      <c r="D5390" s="4"/>
      <c r="E5390" s="4"/>
      <c r="F5390" s="4"/>
    </row>
    <row r="5391" spans="1:6" x14ac:dyDescent="0.4">
      <c r="A5391" s="4"/>
      <c r="B5391" s="4"/>
      <c r="D5391" s="4"/>
      <c r="E5391" s="4"/>
      <c r="F5391" s="4"/>
    </row>
    <row r="5392" spans="1:6" x14ac:dyDescent="0.4">
      <c r="A5392" s="4"/>
      <c r="B5392" s="4"/>
      <c r="D5392" s="4"/>
      <c r="E5392" s="4"/>
      <c r="F5392" s="4"/>
    </row>
    <row r="5393" spans="1:6" x14ac:dyDescent="0.4">
      <c r="A5393" s="4"/>
      <c r="B5393" s="4"/>
      <c r="D5393" s="4"/>
      <c r="E5393" s="4"/>
      <c r="F5393" s="4"/>
    </row>
    <row r="5394" spans="1:6" x14ac:dyDescent="0.4">
      <c r="A5394" s="4"/>
      <c r="B5394" s="4"/>
      <c r="D5394" s="4"/>
      <c r="E5394" s="4"/>
      <c r="F5394" s="4"/>
    </row>
    <row r="5395" spans="1:6" x14ac:dyDescent="0.4">
      <c r="A5395" s="4"/>
      <c r="B5395" s="4"/>
      <c r="D5395" s="4"/>
      <c r="E5395" s="4"/>
      <c r="F5395" s="4"/>
    </row>
    <row r="5396" spans="1:6" x14ac:dyDescent="0.4">
      <c r="A5396" s="4"/>
      <c r="B5396" s="4"/>
      <c r="D5396" s="4"/>
      <c r="E5396" s="4"/>
      <c r="F5396" s="4"/>
    </row>
    <row r="5397" spans="1:6" x14ac:dyDescent="0.4">
      <c r="A5397" s="4"/>
      <c r="B5397" s="4"/>
      <c r="D5397" s="4"/>
      <c r="E5397" s="4"/>
      <c r="F5397" s="4"/>
    </row>
    <row r="5398" spans="1:6" x14ac:dyDescent="0.4">
      <c r="A5398" s="4"/>
      <c r="B5398" s="4"/>
      <c r="D5398" s="4"/>
      <c r="E5398" s="4"/>
      <c r="F5398" s="4"/>
    </row>
    <row r="5399" spans="1:6" x14ac:dyDescent="0.4">
      <c r="A5399" s="4"/>
      <c r="B5399" s="4"/>
      <c r="D5399" s="4"/>
      <c r="E5399" s="4"/>
      <c r="F5399" s="4"/>
    </row>
    <row r="5400" spans="1:6" x14ac:dyDescent="0.4">
      <c r="A5400" s="4"/>
      <c r="B5400" s="4"/>
      <c r="D5400" s="4"/>
      <c r="E5400" s="4"/>
      <c r="F5400" s="4"/>
    </row>
    <row r="5401" spans="1:6" x14ac:dyDescent="0.4">
      <c r="A5401" s="4"/>
      <c r="B5401" s="4"/>
      <c r="D5401" s="4"/>
      <c r="E5401" s="4"/>
      <c r="F5401" s="4"/>
    </row>
    <row r="5402" spans="1:6" x14ac:dyDescent="0.4">
      <c r="A5402" s="4"/>
      <c r="B5402" s="4"/>
      <c r="D5402" s="4"/>
      <c r="E5402" s="4"/>
      <c r="F5402" s="4"/>
    </row>
    <row r="5403" spans="1:6" x14ac:dyDescent="0.4">
      <c r="A5403" s="4"/>
      <c r="B5403" s="4"/>
      <c r="D5403" s="4"/>
      <c r="E5403" s="4"/>
      <c r="F5403" s="4"/>
    </row>
    <row r="5404" spans="1:6" x14ac:dyDescent="0.4">
      <c r="A5404" s="4"/>
      <c r="B5404" s="4"/>
      <c r="D5404" s="4"/>
      <c r="E5404" s="4"/>
      <c r="F5404" s="4"/>
    </row>
    <row r="5405" spans="1:6" x14ac:dyDescent="0.4">
      <c r="A5405" s="4"/>
      <c r="B5405" s="4"/>
      <c r="D5405" s="4"/>
      <c r="E5405" s="4"/>
      <c r="F5405" s="4"/>
    </row>
    <row r="5406" spans="1:6" x14ac:dyDescent="0.4">
      <c r="A5406" s="4"/>
      <c r="B5406" s="4"/>
      <c r="D5406" s="4"/>
      <c r="E5406" s="4"/>
      <c r="F5406" s="4"/>
    </row>
    <row r="5407" spans="1:6" x14ac:dyDescent="0.4">
      <c r="A5407" s="4"/>
      <c r="B5407" s="4"/>
      <c r="D5407" s="4"/>
      <c r="E5407" s="4"/>
      <c r="F5407" s="4"/>
    </row>
    <row r="5408" spans="1:6" x14ac:dyDescent="0.4">
      <c r="A5408" s="4"/>
      <c r="B5408" s="4"/>
      <c r="D5408" s="4"/>
      <c r="E5408" s="4"/>
      <c r="F5408" s="4"/>
    </row>
    <row r="5409" spans="1:6" x14ac:dyDescent="0.4">
      <c r="A5409" s="4"/>
      <c r="B5409" s="4"/>
      <c r="D5409" s="4"/>
      <c r="E5409" s="4"/>
      <c r="F5409" s="4"/>
    </row>
    <row r="5410" spans="1:6" x14ac:dyDescent="0.4">
      <c r="A5410" s="4"/>
      <c r="B5410" s="4"/>
      <c r="D5410" s="4"/>
      <c r="E5410" s="4"/>
      <c r="F5410" s="4"/>
    </row>
    <row r="5411" spans="1:6" x14ac:dyDescent="0.4">
      <c r="A5411" s="4"/>
      <c r="B5411" s="4"/>
      <c r="D5411" s="4"/>
      <c r="E5411" s="4"/>
      <c r="F5411" s="4"/>
    </row>
    <row r="5412" spans="1:6" x14ac:dyDescent="0.4">
      <c r="A5412" s="4"/>
      <c r="B5412" s="4"/>
      <c r="D5412" s="4"/>
      <c r="E5412" s="4"/>
      <c r="F5412" s="4"/>
    </row>
    <row r="5413" spans="1:6" x14ac:dyDescent="0.4">
      <c r="A5413" s="4"/>
      <c r="B5413" s="4"/>
      <c r="D5413" s="4"/>
      <c r="E5413" s="4"/>
      <c r="F5413" s="4"/>
    </row>
    <row r="5414" spans="1:6" x14ac:dyDescent="0.4">
      <c r="A5414" s="4"/>
      <c r="B5414" s="4"/>
      <c r="D5414" s="4"/>
      <c r="E5414" s="4"/>
      <c r="F5414" s="4"/>
    </row>
    <row r="5415" spans="1:6" x14ac:dyDescent="0.4">
      <c r="A5415" s="4"/>
      <c r="B5415" s="4"/>
      <c r="D5415" s="4"/>
      <c r="E5415" s="4"/>
      <c r="F5415" s="4"/>
    </row>
    <row r="5416" spans="1:6" x14ac:dyDescent="0.4">
      <c r="A5416" s="4"/>
      <c r="B5416" s="4"/>
      <c r="D5416" s="4"/>
      <c r="E5416" s="4"/>
      <c r="F5416" s="4"/>
    </row>
    <row r="5417" spans="1:6" x14ac:dyDescent="0.4">
      <c r="A5417" s="4"/>
      <c r="B5417" s="4"/>
      <c r="D5417" s="4"/>
      <c r="E5417" s="4"/>
      <c r="F5417" s="4"/>
    </row>
    <row r="5418" spans="1:6" x14ac:dyDescent="0.4">
      <c r="A5418" s="4"/>
      <c r="B5418" s="4"/>
      <c r="D5418" s="4"/>
      <c r="E5418" s="4"/>
      <c r="F5418" s="4"/>
    </row>
    <row r="5419" spans="1:6" x14ac:dyDescent="0.4">
      <c r="A5419" s="4"/>
      <c r="B5419" s="4"/>
      <c r="D5419" s="4"/>
      <c r="E5419" s="4"/>
      <c r="F5419" s="4"/>
    </row>
    <row r="5420" spans="1:6" x14ac:dyDescent="0.4">
      <c r="A5420" s="4"/>
      <c r="B5420" s="4"/>
      <c r="D5420" s="4"/>
      <c r="E5420" s="4"/>
      <c r="F5420" s="4"/>
    </row>
    <row r="5421" spans="1:6" x14ac:dyDescent="0.4">
      <c r="A5421" s="4"/>
      <c r="B5421" s="4"/>
      <c r="D5421" s="4"/>
      <c r="E5421" s="4"/>
      <c r="F5421" s="4"/>
    </row>
    <row r="5422" spans="1:6" x14ac:dyDescent="0.4">
      <c r="A5422" s="4"/>
      <c r="B5422" s="4"/>
      <c r="D5422" s="4"/>
      <c r="E5422" s="4"/>
      <c r="F5422" s="4"/>
    </row>
    <row r="5423" spans="1:6" x14ac:dyDescent="0.4">
      <c r="A5423" s="4"/>
      <c r="B5423" s="4"/>
      <c r="D5423" s="4"/>
      <c r="E5423" s="4"/>
      <c r="F5423" s="4"/>
    </row>
    <row r="5424" spans="1:6" x14ac:dyDescent="0.4">
      <c r="A5424" s="4"/>
      <c r="B5424" s="4"/>
      <c r="D5424" s="4"/>
      <c r="E5424" s="4"/>
      <c r="F5424" s="4"/>
    </row>
    <row r="5425" spans="1:6" x14ac:dyDescent="0.4">
      <c r="A5425" s="4"/>
      <c r="B5425" s="4"/>
      <c r="D5425" s="4"/>
      <c r="E5425" s="4"/>
      <c r="F5425" s="4"/>
    </row>
    <row r="5426" spans="1:6" x14ac:dyDescent="0.4">
      <c r="A5426" s="4"/>
      <c r="B5426" s="4"/>
      <c r="D5426" s="4"/>
      <c r="E5426" s="4"/>
      <c r="F5426" s="4"/>
    </row>
    <row r="5427" spans="1:6" x14ac:dyDescent="0.4">
      <c r="A5427" s="4"/>
      <c r="B5427" s="4"/>
      <c r="D5427" s="4"/>
      <c r="E5427" s="4"/>
      <c r="F5427" s="4"/>
    </row>
    <row r="5428" spans="1:6" x14ac:dyDescent="0.4">
      <c r="A5428" s="4"/>
      <c r="B5428" s="4"/>
      <c r="D5428" s="4"/>
      <c r="E5428" s="4"/>
      <c r="F5428" s="4"/>
    </row>
    <row r="5429" spans="1:6" x14ac:dyDescent="0.4">
      <c r="A5429" s="4"/>
      <c r="B5429" s="4"/>
      <c r="D5429" s="4"/>
      <c r="E5429" s="4"/>
      <c r="F5429" s="4"/>
    </row>
    <row r="5430" spans="1:6" x14ac:dyDescent="0.4">
      <c r="A5430" s="4"/>
      <c r="B5430" s="4"/>
      <c r="D5430" s="4"/>
      <c r="E5430" s="4"/>
      <c r="F5430" s="4"/>
    </row>
    <row r="5431" spans="1:6" x14ac:dyDescent="0.4">
      <c r="A5431" s="4"/>
      <c r="B5431" s="4"/>
      <c r="D5431" s="4"/>
      <c r="E5431" s="4"/>
      <c r="F5431" s="4"/>
    </row>
    <row r="5432" spans="1:6" x14ac:dyDescent="0.4">
      <c r="A5432" s="4"/>
      <c r="B5432" s="4"/>
      <c r="D5432" s="4"/>
      <c r="E5432" s="4"/>
      <c r="F5432" s="4"/>
    </row>
    <row r="5433" spans="1:6" x14ac:dyDescent="0.4">
      <c r="A5433" s="4"/>
      <c r="B5433" s="4"/>
      <c r="D5433" s="4"/>
      <c r="E5433" s="4"/>
      <c r="F5433" s="4"/>
    </row>
    <row r="5434" spans="1:6" x14ac:dyDescent="0.4">
      <c r="A5434" s="4"/>
      <c r="B5434" s="4"/>
      <c r="D5434" s="4"/>
      <c r="E5434" s="4"/>
      <c r="F5434" s="4"/>
    </row>
    <row r="5435" spans="1:6" x14ac:dyDescent="0.4">
      <c r="A5435" s="4"/>
      <c r="B5435" s="4"/>
      <c r="D5435" s="4"/>
      <c r="E5435" s="4"/>
      <c r="F5435" s="4"/>
    </row>
    <row r="5436" spans="1:6" x14ac:dyDescent="0.4">
      <c r="A5436" s="4"/>
      <c r="B5436" s="4"/>
      <c r="D5436" s="4"/>
      <c r="E5436" s="4"/>
      <c r="F5436" s="4"/>
    </row>
    <row r="5437" spans="1:6" x14ac:dyDescent="0.4">
      <c r="A5437" s="4"/>
      <c r="B5437" s="4"/>
      <c r="D5437" s="4"/>
      <c r="E5437" s="4"/>
      <c r="F5437" s="4"/>
    </row>
    <row r="5438" spans="1:6" x14ac:dyDescent="0.4">
      <c r="A5438" s="4"/>
      <c r="B5438" s="4"/>
      <c r="D5438" s="4"/>
      <c r="E5438" s="4"/>
      <c r="F5438" s="4"/>
    </row>
    <row r="5439" spans="1:6" x14ac:dyDescent="0.4">
      <c r="A5439" s="4"/>
      <c r="B5439" s="4"/>
      <c r="D5439" s="4"/>
      <c r="E5439" s="4"/>
      <c r="F5439" s="4"/>
    </row>
    <row r="5440" spans="1:6" x14ac:dyDescent="0.4">
      <c r="A5440" s="4"/>
      <c r="B5440" s="4"/>
      <c r="D5440" s="4"/>
      <c r="E5440" s="4"/>
      <c r="F5440" s="4"/>
    </row>
    <row r="5441" spans="1:6" x14ac:dyDescent="0.4">
      <c r="A5441" s="4"/>
      <c r="B5441" s="4"/>
      <c r="D5441" s="4"/>
      <c r="E5441" s="4"/>
      <c r="F5441" s="4"/>
    </row>
    <row r="5442" spans="1:6" x14ac:dyDescent="0.4">
      <c r="A5442" s="4"/>
      <c r="B5442" s="4"/>
      <c r="D5442" s="4"/>
      <c r="E5442" s="4"/>
      <c r="F5442" s="4"/>
    </row>
    <row r="5443" spans="1:6" x14ac:dyDescent="0.4">
      <c r="A5443" s="4"/>
      <c r="B5443" s="4"/>
      <c r="D5443" s="4"/>
      <c r="E5443" s="4"/>
      <c r="F5443" s="4"/>
    </row>
    <row r="5444" spans="1:6" x14ac:dyDescent="0.4">
      <c r="A5444" s="4"/>
      <c r="B5444" s="4"/>
      <c r="D5444" s="4"/>
      <c r="E5444" s="4"/>
      <c r="F5444" s="4"/>
    </row>
    <row r="5445" spans="1:6" x14ac:dyDescent="0.4">
      <c r="A5445" s="4"/>
      <c r="B5445" s="4"/>
      <c r="D5445" s="4"/>
      <c r="E5445" s="4"/>
      <c r="F5445" s="4"/>
    </row>
    <row r="5446" spans="1:6" x14ac:dyDescent="0.4">
      <c r="A5446" s="4"/>
      <c r="B5446" s="4"/>
      <c r="D5446" s="4"/>
      <c r="E5446" s="4"/>
      <c r="F5446" s="4"/>
    </row>
    <row r="5447" spans="1:6" x14ac:dyDescent="0.4">
      <c r="A5447" s="4"/>
      <c r="B5447" s="4"/>
      <c r="D5447" s="4"/>
      <c r="E5447" s="4"/>
      <c r="F5447" s="4"/>
    </row>
    <row r="5448" spans="1:6" x14ac:dyDescent="0.4">
      <c r="A5448" s="4"/>
      <c r="B5448" s="4"/>
      <c r="D5448" s="4"/>
      <c r="E5448" s="4"/>
      <c r="F5448" s="4"/>
    </row>
    <row r="5449" spans="1:6" x14ac:dyDescent="0.4">
      <c r="A5449" s="4"/>
      <c r="B5449" s="4"/>
      <c r="D5449" s="4"/>
      <c r="E5449" s="4"/>
      <c r="F5449" s="4"/>
    </row>
    <row r="5450" spans="1:6" x14ac:dyDescent="0.4">
      <c r="A5450" s="4"/>
      <c r="B5450" s="4"/>
      <c r="D5450" s="4"/>
      <c r="E5450" s="4"/>
      <c r="F5450" s="4"/>
    </row>
    <row r="5451" spans="1:6" x14ac:dyDescent="0.4">
      <c r="A5451" s="4"/>
      <c r="B5451" s="4"/>
      <c r="D5451" s="4"/>
      <c r="E5451" s="4"/>
      <c r="F5451" s="4"/>
    </row>
    <row r="5452" spans="1:6" x14ac:dyDescent="0.4">
      <c r="A5452" s="4"/>
      <c r="B5452" s="4"/>
      <c r="D5452" s="4"/>
      <c r="E5452" s="4"/>
      <c r="F5452" s="4"/>
    </row>
    <row r="5453" spans="1:6" x14ac:dyDescent="0.4">
      <c r="A5453" s="4"/>
      <c r="B5453" s="4"/>
      <c r="D5453" s="4"/>
      <c r="E5453" s="4"/>
      <c r="F5453" s="4"/>
    </row>
    <row r="5454" spans="1:6" x14ac:dyDescent="0.4">
      <c r="A5454" s="4"/>
      <c r="B5454" s="4"/>
      <c r="D5454" s="4"/>
      <c r="E5454" s="4"/>
      <c r="F5454" s="4"/>
    </row>
    <row r="5455" spans="1:6" x14ac:dyDescent="0.4">
      <c r="A5455" s="4"/>
      <c r="B5455" s="4"/>
      <c r="D5455" s="4"/>
      <c r="E5455" s="4"/>
      <c r="F5455" s="4"/>
    </row>
    <row r="5456" spans="1:6" x14ac:dyDescent="0.4">
      <c r="A5456" s="4"/>
      <c r="B5456" s="4"/>
      <c r="D5456" s="4"/>
      <c r="E5456" s="4"/>
      <c r="F5456" s="4"/>
    </row>
    <row r="5457" spans="1:6" x14ac:dyDescent="0.4">
      <c r="A5457" s="4"/>
      <c r="B5457" s="4"/>
      <c r="D5457" s="4"/>
      <c r="E5457" s="4"/>
      <c r="F5457" s="4"/>
    </row>
    <row r="5458" spans="1:6" x14ac:dyDescent="0.4">
      <c r="A5458" s="4"/>
      <c r="B5458" s="4"/>
      <c r="D5458" s="4"/>
      <c r="E5458" s="4"/>
      <c r="F5458" s="4"/>
    </row>
    <row r="5459" spans="1:6" x14ac:dyDescent="0.4">
      <c r="A5459" s="4"/>
      <c r="B5459" s="4"/>
      <c r="D5459" s="4"/>
      <c r="E5459" s="4"/>
      <c r="F5459" s="4"/>
    </row>
    <row r="5460" spans="1:6" x14ac:dyDescent="0.4">
      <c r="A5460" s="4"/>
      <c r="B5460" s="4"/>
      <c r="D5460" s="4"/>
      <c r="E5460" s="4"/>
      <c r="F5460" s="4"/>
    </row>
    <row r="5461" spans="1:6" x14ac:dyDescent="0.4">
      <c r="A5461" s="4"/>
      <c r="B5461" s="4"/>
      <c r="D5461" s="4"/>
      <c r="E5461" s="4"/>
      <c r="F5461" s="4"/>
    </row>
    <row r="5462" spans="1:6" x14ac:dyDescent="0.4">
      <c r="A5462" s="4"/>
      <c r="B5462" s="4"/>
      <c r="D5462" s="4"/>
      <c r="E5462" s="4"/>
      <c r="F5462" s="4"/>
    </row>
    <row r="5463" spans="1:6" x14ac:dyDescent="0.4">
      <c r="A5463" s="4"/>
      <c r="B5463" s="4"/>
      <c r="D5463" s="4"/>
      <c r="E5463" s="4"/>
      <c r="F5463" s="4"/>
    </row>
    <row r="5464" spans="1:6" x14ac:dyDescent="0.4">
      <c r="A5464" s="4"/>
      <c r="B5464" s="4"/>
      <c r="D5464" s="4"/>
      <c r="E5464" s="4"/>
      <c r="F5464" s="4"/>
    </row>
    <row r="5465" spans="1:6" x14ac:dyDescent="0.4">
      <c r="A5465" s="4"/>
      <c r="B5465" s="4"/>
      <c r="D5465" s="4"/>
      <c r="E5465" s="4"/>
      <c r="F5465" s="4"/>
    </row>
    <row r="5466" spans="1:6" x14ac:dyDescent="0.4">
      <c r="A5466" s="4"/>
      <c r="B5466" s="4"/>
      <c r="D5466" s="4"/>
      <c r="E5466" s="4"/>
      <c r="F5466" s="4"/>
    </row>
    <row r="5467" spans="1:6" x14ac:dyDescent="0.4">
      <c r="A5467" s="4"/>
      <c r="B5467" s="4"/>
      <c r="D5467" s="4"/>
      <c r="E5467" s="4"/>
      <c r="F5467" s="4"/>
    </row>
    <row r="5468" spans="1:6" x14ac:dyDescent="0.4">
      <c r="A5468" s="4"/>
      <c r="B5468" s="4"/>
      <c r="D5468" s="4"/>
      <c r="E5468" s="4"/>
      <c r="F5468" s="4"/>
    </row>
    <row r="5469" spans="1:6" x14ac:dyDescent="0.4">
      <c r="A5469" s="4"/>
      <c r="B5469" s="4"/>
      <c r="D5469" s="4"/>
      <c r="E5469" s="4"/>
      <c r="F5469" s="4"/>
    </row>
    <row r="5470" spans="1:6" x14ac:dyDescent="0.4">
      <c r="A5470" s="4"/>
      <c r="B5470" s="4"/>
      <c r="D5470" s="4"/>
      <c r="E5470" s="4"/>
      <c r="F5470" s="4"/>
    </row>
    <row r="5471" spans="1:6" x14ac:dyDescent="0.4">
      <c r="A5471" s="4"/>
      <c r="B5471" s="4"/>
      <c r="D5471" s="4"/>
      <c r="E5471" s="4"/>
      <c r="F5471" s="4"/>
    </row>
    <row r="5472" spans="1:6" x14ac:dyDescent="0.4">
      <c r="A5472" s="4"/>
      <c r="B5472" s="4"/>
      <c r="D5472" s="4"/>
      <c r="E5472" s="4"/>
      <c r="F5472" s="4"/>
    </row>
    <row r="5473" spans="1:6" x14ac:dyDescent="0.4">
      <c r="A5473" s="4"/>
      <c r="B5473" s="4"/>
      <c r="D5473" s="4"/>
      <c r="E5473" s="4"/>
      <c r="F5473" s="4"/>
    </row>
    <row r="5474" spans="1:6" x14ac:dyDescent="0.4">
      <c r="A5474" s="4"/>
      <c r="B5474" s="4"/>
      <c r="D5474" s="4"/>
      <c r="E5474" s="4"/>
      <c r="F5474" s="4"/>
    </row>
    <row r="5475" spans="1:6" x14ac:dyDescent="0.4">
      <c r="A5475" s="4"/>
      <c r="B5475" s="4"/>
      <c r="D5475" s="4"/>
      <c r="E5475" s="4"/>
      <c r="F5475" s="4"/>
    </row>
    <row r="5476" spans="1:6" x14ac:dyDescent="0.4">
      <c r="A5476" s="4"/>
      <c r="B5476" s="4"/>
      <c r="D5476" s="4"/>
      <c r="E5476" s="4"/>
      <c r="F5476" s="4"/>
    </row>
    <row r="5477" spans="1:6" x14ac:dyDescent="0.4">
      <c r="A5477" s="4"/>
      <c r="B5477" s="4"/>
      <c r="D5477" s="4"/>
      <c r="E5477" s="4"/>
      <c r="F5477" s="4"/>
    </row>
    <row r="5478" spans="1:6" x14ac:dyDescent="0.4">
      <c r="A5478" s="4"/>
      <c r="B5478" s="4"/>
      <c r="D5478" s="4"/>
      <c r="E5478" s="4"/>
      <c r="F5478" s="4"/>
    </row>
    <row r="5479" spans="1:6" x14ac:dyDescent="0.4">
      <c r="A5479" s="4"/>
      <c r="B5479" s="4"/>
      <c r="D5479" s="4"/>
      <c r="E5479" s="4"/>
      <c r="F5479" s="4"/>
    </row>
    <row r="5480" spans="1:6" x14ac:dyDescent="0.4">
      <c r="A5480" s="4"/>
      <c r="B5480" s="4"/>
      <c r="D5480" s="4"/>
      <c r="E5480" s="4"/>
      <c r="F5480" s="4"/>
    </row>
    <row r="5481" spans="1:6" x14ac:dyDescent="0.4">
      <c r="A5481" s="4"/>
      <c r="B5481" s="4"/>
      <c r="D5481" s="4"/>
      <c r="E5481" s="4"/>
      <c r="F5481" s="4"/>
    </row>
    <row r="5482" spans="1:6" x14ac:dyDescent="0.4">
      <c r="A5482" s="4"/>
      <c r="B5482" s="4"/>
      <c r="D5482" s="4"/>
      <c r="E5482" s="4"/>
      <c r="F5482" s="4"/>
    </row>
    <row r="5483" spans="1:6" x14ac:dyDescent="0.4">
      <c r="A5483" s="4"/>
      <c r="B5483" s="4"/>
      <c r="D5483" s="4"/>
      <c r="E5483" s="4"/>
      <c r="F5483" s="4"/>
    </row>
    <row r="5484" spans="1:6" x14ac:dyDescent="0.4">
      <c r="A5484" s="4"/>
      <c r="B5484" s="4"/>
      <c r="D5484" s="4"/>
      <c r="E5484" s="4"/>
      <c r="F5484" s="4"/>
    </row>
    <row r="5485" spans="1:6" x14ac:dyDescent="0.4">
      <c r="A5485" s="4"/>
      <c r="B5485" s="4"/>
      <c r="D5485" s="4"/>
      <c r="E5485" s="4"/>
      <c r="F5485" s="4"/>
    </row>
    <row r="5486" spans="1:6" x14ac:dyDescent="0.4">
      <c r="A5486" s="4"/>
      <c r="B5486" s="4"/>
      <c r="D5486" s="4"/>
      <c r="E5486" s="4"/>
      <c r="F5486" s="4"/>
    </row>
    <row r="5487" spans="1:6" x14ac:dyDescent="0.4">
      <c r="A5487" s="4"/>
      <c r="B5487" s="4"/>
      <c r="D5487" s="4"/>
      <c r="E5487" s="4"/>
      <c r="F5487" s="4"/>
    </row>
    <row r="5488" spans="1:6" x14ac:dyDescent="0.4">
      <c r="A5488" s="4"/>
      <c r="B5488" s="4"/>
      <c r="D5488" s="4"/>
      <c r="E5488" s="4"/>
      <c r="F5488" s="4"/>
    </row>
    <row r="5489" spans="1:6" x14ac:dyDescent="0.4">
      <c r="A5489" s="4"/>
      <c r="B5489" s="4"/>
      <c r="D5489" s="4"/>
      <c r="E5489" s="4"/>
      <c r="F5489" s="4"/>
    </row>
    <row r="5490" spans="1:6" x14ac:dyDescent="0.4">
      <c r="A5490" s="4"/>
      <c r="B5490" s="4"/>
      <c r="D5490" s="4"/>
      <c r="E5490" s="4"/>
      <c r="F5490" s="4"/>
    </row>
    <row r="5491" spans="1:6" x14ac:dyDescent="0.4">
      <c r="A5491" s="4"/>
      <c r="B5491" s="4"/>
      <c r="D5491" s="4"/>
      <c r="E5491" s="4"/>
      <c r="F5491" s="4"/>
    </row>
    <row r="5492" spans="1:6" x14ac:dyDescent="0.4">
      <c r="A5492" s="4"/>
      <c r="B5492" s="4"/>
      <c r="D5492" s="4"/>
      <c r="E5492" s="4"/>
      <c r="F5492" s="4"/>
    </row>
    <row r="5493" spans="1:6" x14ac:dyDescent="0.4">
      <c r="A5493" s="4"/>
      <c r="B5493" s="4"/>
      <c r="D5493" s="4"/>
      <c r="E5493" s="4"/>
      <c r="F5493" s="4"/>
    </row>
    <row r="5494" spans="1:6" x14ac:dyDescent="0.4">
      <c r="A5494" s="4"/>
      <c r="B5494" s="4"/>
      <c r="D5494" s="4"/>
      <c r="E5494" s="4"/>
      <c r="F5494" s="4"/>
    </row>
    <row r="5495" spans="1:6" x14ac:dyDescent="0.4">
      <c r="A5495" s="4"/>
      <c r="B5495" s="4"/>
      <c r="D5495" s="4"/>
      <c r="E5495" s="4"/>
      <c r="F5495" s="4"/>
    </row>
    <row r="5496" spans="1:6" x14ac:dyDescent="0.4">
      <c r="A5496" s="4"/>
      <c r="B5496" s="4"/>
      <c r="D5496" s="4"/>
      <c r="E5496" s="4"/>
      <c r="F5496" s="4"/>
    </row>
    <row r="5497" spans="1:6" x14ac:dyDescent="0.4">
      <c r="A5497" s="4"/>
      <c r="B5497" s="4"/>
      <c r="D5497" s="4"/>
      <c r="E5497" s="4"/>
      <c r="F5497" s="4"/>
    </row>
    <row r="5498" spans="1:6" x14ac:dyDescent="0.4">
      <c r="A5498" s="4"/>
      <c r="B5498" s="4"/>
      <c r="D5498" s="4"/>
      <c r="E5498" s="4"/>
      <c r="F5498" s="4"/>
    </row>
    <row r="5499" spans="1:6" x14ac:dyDescent="0.4">
      <c r="A5499" s="4"/>
      <c r="B5499" s="4"/>
      <c r="D5499" s="4"/>
      <c r="E5499" s="4"/>
      <c r="F5499" s="4"/>
    </row>
    <row r="5500" spans="1:6" x14ac:dyDescent="0.4">
      <c r="A5500" s="4"/>
      <c r="B5500" s="4"/>
      <c r="D5500" s="4"/>
      <c r="E5500" s="4"/>
      <c r="F5500" s="4"/>
    </row>
    <row r="5501" spans="1:6" x14ac:dyDescent="0.4">
      <c r="A5501" s="4"/>
      <c r="B5501" s="4"/>
      <c r="D5501" s="4"/>
      <c r="E5501" s="4"/>
      <c r="F5501" s="4"/>
    </row>
    <row r="5502" spans="1:6" x14ac:dyDescent="0.4">
      <c r="A5502" s="4"/>
      <c r="B5502" s="4"/>
      <c r="D5502" s="4"/>
      <c r="E5502" s="4"/>
      <c r="F5502" s="4"/>
    </row>
    <row r="5503" spans="1:6" x14ac:dyDescent="0.4">
      <c r="A5503" s="4"/>
      <c r="B5503" s="4"/>
      <c r="D5503" s="4"/>
      <c r="E5503" s="4"/>
      <c r="F5503" s="4"/>
    </row>
    <row r="5504" spans="1:6" x14ac:dyDescent="0.4">
      <c r="A5504" s="4"/>
      <c r="B5504" s="4"/>
      <c r="D5504" s="4"/>
      <c r="E5504" s="4"/>
      <c r="F5504" s="4"/>
    </row>
    <row r="5505" spans="1:6" x14ac:dyDescent="0.4">
      <c r="A5505" s="4"/>
      <c r="B5505" s="4"/>
      <c r="D5505" s="4"/>
      <c r="E5505" s="4"/>
      <c r="F5505" s="4"/>
    </row>
    <row r="5506" spans="1:6" x14ac:dyDescent="0.4">
      <c r="A5506" s="4"/>
      <c r="B5506" s="4"/>
      <c r="D5506" s="4"/>
      <c r="E5506" s="4"/>
      <c r="F5506" s="4"/>
    </row>
    <row r="5507" spans="1:6" x14ac:dyDescent="0.4">
      <c r="A5507" s="4"/>
      <c r="B5507" s="4"/>
      <c r="D5507" s="4"/>
      <c r="E5507" s="4"/>
      <c r="F5507" s="4"/>
    </row>
    <row r="5508" spans="1:6" x14ac:dyDescent="0.4">
      <c r="A5508" s="4"/>
      <c r="B5508" s="4"/>
      <c r="D5508" s="4"/>
      <c r="E5508" s="4"/>
      <c r="F5508" s="4"/>
    </row>
    <row r="5509" spans="1:6" x14ac:dyDescent="0.4">
      <c r="A5509" s="4"/>
      <c r="B5509" s="4"/>
      <c r="D5509" s="4"/>
      <c r="E5509" s="4"/>
      <c r="F5509" s="4"/>
    </row>
    <row r="5510" spans="1:6" x14ac:dyDescent="0.4">
      <c r="A5510" s="4"/>
      <c r="B5510" s="4"/>
      <c r="D5510" s="4"/>
      <c r="E5510" s="4"/>
      <c r="F5510" s="4"/>
    </row>
    <row r="5511" spans="1:6" x14ac:dyDescent="0.4">
      <c r="A5511" s="4"/>
      <c r="B5511" s="4"/>
      <c r="D5511" s="4"/>
      <c r="E5511" s="4"/>
      <c r="F5511" s="4"/>
    </row>
    <row r="5512" spans="1:6" x14ac:dyDescent="0.4">
      <c r="A5512" s="4"/>
      <c r="B5512" s="4"/>
      <c r="D5512" s="4"/>
      <c r="E5512" s="4"/>
      <c r="F5512" s="4"/>
    </row>
    <row r="5513" spans="1:6" x14ac:dyDescent="0.4">
      <c r="A5513" s="4"/>
      <c r="B5513" s="4"/>
      <c r="D5513" s="4"/>
      <c r="E5513" s="4"/>
      <c r="F5513" s="4"/>
    </row>
    <row r="5514" spans="1:6" x14ac:dyDescent="0.4">
      <c r="A5514" s="4"/>
      <c r="B5514" s="4"/>
      <c r="D5514" s="4"/>
      <c r="E5514" s="4"/>
      <c r="F5514" s="4"/>
    </row>
    <row r="5515" spans="1:6" x14ac:dyDescent="0.4">
      <c r="A5515" s="4"/>
      <c r="B5515" s="4"/>
      <c r="D5515" s="4"/>
      <c r="E5515" s="4"/>
      <c r="F5515" s="4"/>
    </row>
    <row r="5516" spans="1:6" x14ac:dyDescent="0.4">
      <c r="A5516" s="4"/>
      <c r="B5516" s="4"/>
      <c r="D5516" s="4"/>
      <c r="E5516" s="4"/>
      <c r="F5516" s="4"/>
    </row>
    <row r="5517" spans="1:6" x14ac:dyDescent="0.4">
      <c r="A5517" s="4"/>
      <c r="B5517" s="4"/>
      <c r="D5517" s="4"/>
      <c r="E5517" s="4"/>
      <c r="F5517" s="4"/>
    </row>
    <row r="5518" spans="1:6" x14ac:dyDescent="0.4">
      <c r="A5518" s="4"/>
      <c r="B5518" s="4"/>
      <c r="D5518" s="4"/>
      <c r="E5518" s="4"/>
      <c r="F5518" s="4"/>
    </row>
    <row r="5519" spans="1:6" x14ac:dyDescent="0.4">
      <c r="A5519" s="4"/>
      <c r="B5519" s="4"/>
      <c r="D5519" s="4"/>
      <c r="E5519" s="4"/>
      <c r="F5519" s="4"/>
    </row>
    <row r="5520" spans="1:6" x14ac:dyDescent="0.4">
      <c r="A5520" s="4"/>
      <c r="B5520" s="4"/>
      <c r="D5520" s="4"/>
      <c r="E5520" s="4"/>
      <c r="F5520" s="4"/>
    </row>
    <row r="5521" spans="1:6" x14ac:dyDescent="0.4">
      <c r="A5521" s="4"/>
      <c r="B5521" s="4"/>
      <c r="D5521" s="4"/>
      <c r="E5521" s="4"/>
      <c r="F5521" s="4"/>
    </row>
    <row r="5522" spans="1:6" x14ac:dyDescent="0.4">
      <c r="A5522" s="4"/>
      <c r="B5522" s="4"/>
      <c r="D5522" s="4"/>
      <c r="E5522" s="4"/>
      <c r="F5522" s="4"/>
    </row>
    <row r="5523" spans="1:6" x14ac:dyDescent="0.4">
      <c r="A5523" s="4"/>
      <c r="B5523" s="4"/>
      <c r="D5523" s="4"/>
      <c r="E5523" s="4"/>
      <c r="F5523" s="4"/>
    </row>
    <row r="5524" spans="1:6" x14ac:dyDescent="0.4">
      <c r="A5524" s="4"/>
      <c r="B5524" s="4"/>
      <c r="D5524" s="4"/>
      <c r="E5524" s="4"/>
      <c r="F5524" s="4"/>
    </row>
    <row r="5525" spans="1:6" x14ac:dyDescent="0.4">
      <c r="A5525" s="4"/>
      <c r="B5525" s="4"/>
      <c r="D5525" s="4"/>
      <c r="E5525" s="4"/>
      <c r="F5525" s="4"/>
    </row>
    <row r="5526" spans="1:6" x14ac:dyDescent="0.4">
      <c r="A5526" s="4"/>
      <c r="B5526" s="4"/>
      <c r="D5526" s="4"/>
      <c r="E5526" s="4"/>
      <c r="F5526" s="4"/>
    </row>
    <row r="5527" spans="1:6" x14ac:dyDescent="0.4">
      <c r="A5527" s="4"/>
      <c r="B5527" s="4"/>
      <c r="D5527" s="4"/>
      <c r="E5527" s="4"/>
      <c r="F5527" s="4"/>
    </row>
    <row r="5528" spans="1:6" x14ac:dyDescent="0.4">
      <c r="A5528" s="4"/>
      <c r="B5528" s="4"/>
      <c r="D5528" s="4"/>
      <c r="E5528" s="4"/>
      <c r="F5528" s="4"/>
    </row>
    <row r="5529" spans="1:6" x14ac:dyDescent="0.4">
      <c r="A5529" s="4"/>
      <c r="B5529" s="4"/>
      <c r="D5529" s="4"/>
      <c r="E5529" s="4"/>
      <c r="F5529" s="4"/>
    </row>
    <row r="5530" spans="1:6" x14ac:dyDescent="0.4">
      <c r="A5530" s="4"/>
      <c r="B5530" s="4"/>
      <c r="D5530" s="4"/>
      <c r="E5530" s="4"/>
      <c r="F5530" s="4"/>
    </row>
    <row r="5531" spans="1:6" x14ac:dyDescent="0.4">
      <c r="A5531" s="4"/>
      <c r="B5531" s="4"/>
      <c r="D5531" s="4"/>
      <c r="E5531" s="4"/>
      <c r="F5531" s="4"/>
    </row>
    <row r="5532" spans="1:6" x14ac:dyDescent="0.4">
      <c r="A5532" s="4"/>
      <c r="B5532" s="4"/>
      <c r="D5532" s="4"/>
      <c r="E5532" s="4"/>
      <c r="F5532" s="4"/>
    </row>
    <row r="5533" spans="1:6" x14ac:dyDescent="0.4">
      <c r="A5533" s="4"/>
      <c r="B5533" s="4"/>
      <c r="D5533" s="4"/>
      <c r="E5533" s="4"/>
      <c r="F5533" s="4"/>
    </row>
    <row r="5534" spans="1:6" x14ac:dyDescent="0.4">
      <c r="A5534" s="4"/>
      <c r="B5534" s="4"/>
      <c r="D5534" s="4"/>
      <c r="E5534" s="4"/>
      <c r="F5534" s="4"/>
    </row>
    <row r="5535" spans="1:6" x14ac:dyDescent="0.4">
      <c r="A5535" s="4"/>
      <c r="B5535" s="4"/>
      <c r="D5535" s="4"/>
      <c r="E5535" s="4"/>
      <c r="F5535" s="4"/>
    </row>
    <row r="5536" spans="1:6" x14ac:dyDescent="0.4">
      <c r="A5536" s="4"/>
      <c r="B5536" s="4"/>
      <c r="D5536" s="4"/>
      <c r="E5536" s="4"/>
      <c r="F5536" s="4"/>
    </row>
    <row r="5537" spans="1:6" x14ac:dyDescent="0.4">
      <c r="A5537" s="4"/>
      <c r="B5537" s="4"/>
      <c r="D5537" s="4"/>
      <c r="E5537" s="4"/>
      <c r="F5537" s="4"/>
    </row>
    <row r="5538" spans="1:6" x14ac:dyDescent="0.4">
      <c r="A5538" s="4"/>
      <c r="B5538" s="4"/>
      <c r="D5538" s="4"/>
      <c r="E5538" s="4"/>
      <c r="F5538" s="4"/>
    </row>
    <row r="5539" spans="1:6" x14ac:dyDescent="0.4">
      <c r="A5539" s="4"/>
      <c r="B5539" s="4"/>
      <c r="D5539" s="4"/>
      <c r="E5539" s="4"/>
      <c r="F5539" s="4"/>
    </row>
    <row r="5540" spans="1:6" x14ac:dyDescent="0.4">
      <c r="A5540" s="4"/>
      <c r="B5540" s="4"/>
      <c r="D5540" s="4"/>
      <c r="E5540" s="4"/>
      <c r="F5540" s="4"/>
    </row>
    <row r="5541" spans="1:6" x14ac:dyDescent="0.4">
      <c r="A5541" s="4"/>
      <c r="B5541" s="4"/>
      <c r="D5541" s="4"/>
      <c r="E5541" s="4"/>
      <c r="F5541" s="4"/>
    </row>
    <row r="5542" spans="1:6" x14ac:dyDescent="0.4">
      <c r="A5542" s="4"/>
      <c r="B5542" s="4"/>
      <c r="D5542" s="4"/>
      <c r="E5542" s="4"/>
      <c r="F5542" s="4"/>
    </row>
    <row r="5543" spans="1:6" x14ac:dyDescent="0.4">
      <c r="A5543" s="4"/>
      <c r="B5543" s="4"/>
      <c r="D5543" s="4"/>
      <c r="E5543" s="4"/>
      <c r="F5543" s="4"/>
    </row>
    <row r="5544" spans="1:6" x14ac:dyDescent="0.4">
      <c r="A5544" s="4"/>
      <c r="B5544" s="4"/>
      <c r="D5544" s="4"/>
      <c r="E5544" s="4"/>
      <c r="F5544" s="4"/>
    </row>
    <row r="5545" spans="1:6" x14ac:dyDescent="0.4">
      <c r="A5545" s="4"/>
      <c r="B5545" s="4"/>
      <c r="D5545" s="4"/>
      <c r="E5545" s="4"/>
      <c r="F5545" s="4"/>
    </row>
    <row r="5546" spans="1:6" x14ac:dyDescent="0.4">
      <c r="A5546" s="4"/>
      <c r="B5546" s="4"/>
      <c r="D5546" s="4"/>
      <c r="E5546" s="4"/>
      <c r="F5546" s="4"/>
    </row>
    <row r="5547" spans="1:6" x14ac:dyDescent="0.4">
      <c r="A5547" s="4"/>
      <c r="B5547" s="4"/>
      <c r="D5547" s="4"/>
      <c r="E5547" s="4"/>
      <c r="F5547" s="4"/>
    </row>
    <row r="5548" spans="1:6" x14ac:dyDescent="0.4">
      <c r="A5548" s="4"/>
      <c r="B5548" s="4"/>
      <c r="D5548" s="4"/>
      <c r="E5548" s="4"/>
      <c r="F5548" s="4"/>
    </row>
    <row r="5549" spans="1:6" x14ac:dyDescent="0.4">
      <c r="A5549" s="4"/>
      <c r="B5549" s="4"/>
      <c r="D5549" s="4"/>
      <c r="E5549" s="4"/>
      <c r="F5549" s="4"/>
    </row>
    <row r="5550" spans="1:6" x14ac:dyDescent="0.4">
      <c r="A5550" s="4"/>
      <c r="B5550" s="4"/>
      <c r="D5550" s="4"/>
      <c r="E5550" s="4"/>
      <c r="F5550" s="4"/>
    </row>
    <row r="5551" spans="1:6" x14ac:dyDescent="0.4">
      <c r="A5551" s="4"/>
      <c r="B5551" s="4"/>
      <c r="D5551" s="4"/>
      <c r="E5551" s="4"/>
      <c r="F5551" s="4"/>
    </row>
    <row r="5552" spans="1:6" x14ac:dyDescent="0.4">
      <c r="A5552" s="4"/>
      <c r="B5552" s="4"/>
      <c r="D5552" s="4"/>
      <c r="E5552" s="4"/>
      <c r="F5552" s="4"/>
    </row>
    <row r="5553" spans="1:6" x14ac:dyDescent="0.4">
      <c r="A5553" s="4"/>
      <c r="B5553" s="4"/>
      <c r="D5553" s="4"/>
      <c r="E5553" s="4"/>
      <c r="F5553" s="4"/>
    </row>
    <row r="5554" spans="1:6" x14ac:dyDescent="0.4">
      <c r="A5554" s="4"/>
      <c r="B5554" s="4"/>
      <c r="D5554" s="4"/>
      <c r="E5554" s="4"/>
      <c r="F5554" s="4"/>
    </row>
    <row r="5555" spans="1:6" x14ac:dyDescent="0.4">
      <c r="A5555" s="4"/>
      <c r="B5555" s="4"/>
      <c r="D5555" s="4"/>
      <c r="E5555" s="4"/>
      <c r="F5555" s="4"/>
    </row>
    <row r="5556" spans="1:6" x14ac:dyDescent="0.4">
      <c r="A5556" s="4"/>
      <c r="B5556" s="4"/>
      <c r="D5556" s="4"/>
      <c r="E5556" s="4"/>
      <c r="F5556" s="4"/>
    </row>
    <row r="5557" spans="1:6" x14ac:dyDescent="0.4">
      <c r="A5557" s="4"/>
      <c r="B5557" s="4"/>
      <c r="D5557" s="4"/>
      <c r="E5557" s="4"/>
      <c r="F5557" s="4"/>
    </row>
    <row r="5558" spans="1:6" x14ac:dyDescent="0.4">
      <c r="A5558" s="4"/>
      <c r="B5558" s="4"/>
      <c r="D5558" s="4"/>
      <c r="E5558" s="4"/>
      <c r="F5558" s="4"/>
    </row>
    <row r="5559" spans="1:6" x14ac:dyDescent="0.4">
      <c r="A5559" s="4"/>
      <c r="B5559" s="4"/>
      <c r="D5559" s="4"/>
      <c r="E5559" s="4"/>
      <c r="F5559" s="4"/>
    </row>
    <row r="5560" spans="1:6" x14ac:dyDescent="0.4">
      <c r="A5560" s="4"/>
      <c r="B5560" s="4"/>
      <c r="D5560" s="4"/>
      <c r="E5560" s="4"/>
      <c r="F5560" s="4"/>
    </row>
    <row r="5561" spans="1:6" x14ac:dyDescent="0.4">
      <c r="A5561" s="4"/>
      <c r="B5561" s="4"/>
      <c r="D5561" s="4"/>
      <c r="E5561" s="4"/>
      <c r="F5561" s="4"/>
    </row>
    <row r="5562" spans="1:6" x14ac:dyDescent="0.4">
      <c r="A5562" s="4"/>
      <c r="B5562" s="4"/>
      <c r="D5562" s="4"/>
      <c r="E5562" s="4"/>
      <c r="F5562" s="4"/>
    </row>
    <row r="5563" spans="1:6" x14ac:dyDescent="0.4">
      <c r="A5563" s="4"/>
      <c r="B5563" s="4"/>
      <c r="D5563" s="4"/>
      <c r="E5563" s="4"/>
      <c r="F5563" s="4"/>
    </row>
    <row r="5564" spans="1:6" x14ac:dyDescent="0.4">
      <c r="A5564" s="4"/>
      <c r="B5564" s="4"/>
      <c r="D5564" s="4"/>
      <c r="E5564" s="4"/>
      <c r="F5564" s="4"/>
    </row>
    <row r="5565" spans="1:6" x14ac:dyDescent="0.4">
      <c r="A5565" s="4"/>
      <c r="B5565" s="4"/>
      <c r="D5565" s="4"/>
      <c r="E5565" s="4"/>
      <c r="F5565" s="4"/>
    </row>
    <row r="5566" spans="1:6" x14ac:dyDescent="0.4">
      <c r="A5566" s="4"/>
      <c r="B5566" s="4"/>
      <c r="D5566" s="4"/>
      <c r="E5566" s="4"/>
      <c r="F5566" s="4"/>
    </row>
    <row r="5567" spans="1:6" x14ac:dyDescent="0.4">
      <c r="A5567" s="4"/>
      <c r="B5567" s="4"/>
      <c r="D5567" s="4"/>
      <c r="E5567" s="4"/>
      <c r="F5567" s="4"/>
    </row>
    <row r="5568" spans="1:6" x14ac:dyDescent="0.4">
      <c r="A5568" s="4"/>
      <c r="B5568" s="4"/>
      <c r="D5568" s="4"/>
      <c r="E5568" s="4"/>
      <c r="F5568" s="4"/>
    </row>
    <row r="5569" spans="1:6" x14ac:dyDescent="0.4">
      <c r="A5569" s="4"/>
      <c r="B5569" s="4"/>
      <c r="D5569" s="4"/>
      <c r="E5569" s="4"/>
      <c r="F5569" s="4"/>
    </row>
    <row r="5570" spans="1:6" x14ac:dyDescent="0.4">
      <c r="A5570" s="4"/>
      <c r="B5570" s="4"/>
      <c r="D5570" s="4"/>
      <c r="E5570" s="4"/>
      <c r="F5570" s="4"/>
    </row>
    <row r="5571" spans="1:6" x14ac:dyDescent="0.4">
      <c r="A5571" s="4"/>
      <c r="B5571" s="4"/>
      <c r="D5571" s="4"/>
      <c r="E5571" s="4"/>
      <c r="F5571" s="4"/>
    </row>
    <row r="5572" spans="1:6" x14ac:dyDescent="0.4">
      <c r="A5572" s="4"/>
      <c r="B5572" s="4"/>
      <c r="D5572" s="4"/>
      <c r="E5572" s="4"/>
      <c r="F5572" s="4"/>
    </row>
    <row r="5573" spans="1:6" x14ac:dyDescent="0.4">
      <c r="A5573" s="4"/>
      <c r="B5573" s="4"/>
      <c r="D5573" s="4"/>
      <c r="E5573" s="4"/>
      <c r="F5573" s="4"/>
    </row>
    <row r="5574" spans="1:6" x14ac:dyDescent="0.4">
      <c r="A5574" s="4"/>
      <c r="B5574" s="4"/>
      <c r="D5574" s="4"/>
      <c r="E5574" s="4"/>
      <c r="F5574" s="4"/>
    </row>
    <row r="5575" spans="1:6" x14ac:dyDescent="0.4">
      <c r="A5575" s="4"/>
      <c r="B5575" s="4"/>
      <c r="D5575" s="4"/>
      <c r="E5575" s="4"/>
      <c r="F5575" s="4"/>
    </row>
    <row r="5576" spans="1:6" x14ac:dyDescent="0.4">
      <c r="A5576" s="4"/>
      <c r="B5576" s="4"/>
      <c r="D5576" s="4"/>
      <c r="E5576" s="4"/>
      <c r="F5576" s="4"/>
    </row>
    <row r="5577" spans="1:6" x14ac:dyDescent="0.4">
      <c r="A5577" s="4"/>
      <c r="B5577" s="4"/>
      <c r="D5577" s="4"/>
      <c r="E5577" s="4"/>
      <c r="F5577" s="4"/>
    </row>
    <row r="5578" spans="1:6" x14ac:dyDescent="0.4">
      <c r="A5578" s="4"/>
      <c r="B5578" s="4"/>
      <c r="D5578" s="4"/>
      <c r="E5578" s="4"/>
      <c r="F5578" s="4"/>
    </row>
    <row r="5579" spans="1:6" x14ac:dyDescent="0.4">
      <c r="A5579" s="4"/>
      <c r="B5579" s="4"/>
      <c r="D5579" s="4"/>
      <c r="E5579" s="4"/>
      <c r="F5579" s="4"/>
    </row>
    <row r="5580" spans="1:6" x14ac:dyDescent="0.4">
      <c r="A5580" s="4"/>
      <c r="B5580" s="4"/>
      <c r="D5580" s="4"/>
      <c r="E5580" s="4"/>
      <c r="F5580" s="4"/>
    </row>
    <row r="5581" spans="1:6" x14ac:dyDescent="0.4">
      <c r="A5581" s="4"/>
      <c r="B5581" s="4"/>
      <c r="D5581" s="4"/>
      <c r="E5581" s="4"/>
      <c r="F5581" s="4"/>
    </row>
    <row r="5582" spans="1:6" x14ac:dyDescent="0.4">
      <c r="A5582" s="4"/>
      <c r="B5582" s="4"/>
      <c r="D5582" s="4"/>
      <c r="E5582" s="4"/>
      <c r="F5582" s="4"/>
    </row>
    <row r="5583" spans="1:6" x14ac:dyDescent="0.4">
      <c r="A5583" s="4"/>
      <c r="B5583" s="4"/>
      <c r="D5583" s="4"/>
      <c r="E5583" s="4"/>
      <c r="F5583" s="4"/>
    </row>
    <row r="5584" spans="1:6" x14ac:dyDescent="0.4">
      <c r="A5584" s="4"/>
      <c r="B5584" s="4"/>
      <c r="D5584" s="4"/>
      <c r="E5584" s="4"/>
      <c r="F5584" s="4"/>
    </row>
    <row r="5585" spans="1:6" x14ac:dyDescent="0.4">
      <c r="A5585" s="4"/>
      <c r="B5585" s="4"/>
      <c r="D5585" s="4"/>
      <c r="E5585" s="4"/>
      <c r="F5585" s="4"/>
    </row>
    <row r="5586" spans="1:6" x14ac:dyDescent="0.4">
      <c r="A5586" s="4"/>
      <c r="B5586" s="4"/>
      <c r="D5586" s="4"/>
      <c r="E5586" s="4"/>
      <c r="F5586" s="4"/>
    </row>
    <row r="5587" spans="1:6" x14ac:dyDescent="0.4">
      <c r="A5587" s="4"/>
      <c r="B5587" s="4"/>
      <c r="D5587" s="4"/>
      <c r="E5587" s="4"/>
      <c r="F5587" s="4"/>
    </row>
    <row r="5588" spans="1:6" x14ac:dyDescent="0.4">
      <c r="A5588" s="4"/>
      <c r="B5588" s="4"/>
      <c r="D5588" s="4"/>
      <c r="E5588" s="4"/>
      <c r="F5588" s="4"/>
    </row>
    <row r="5589" spans="1:6" x14ac:dyDescent="0.4">
      <c r="A5589" s="4"/>
      <c r="B5589" s="4"/>
      <c r="D5589" s="4"/>
      <c r="E5589" s="4"/>
      <c r="F5589" s="4"/>
    </row>
    <row r="5590" spans="1:6" x14ac:dyDescent="0.4">
      <c r="A5590" s="4"/>
      <c r="B5590" s="4"/>
      <c r="D5590" s="4"/>
      <c r="E5590" s="4"/>
      <c r="F5590" s="4"/>
    </row>
    <row r="5591" spans="1:6" x14ac:dyDescent="0.4">
      <c r="A5591" s="4"/>
      <c r="B5591" s="4"/>
      <c r="D5591" s="4"/>
      <c r="E5591" s="4"/>
      <c r="F5591" s="4"/>
    </row>
    <row r="5592" spans="1:6" x14ac:dyDescent="0.4">
      <c r="A5592" s="4"/>
      <c r="B5592" s="4"/>
      <c r="D5592" s="4"/>
      <c r="E5592" s="4"/>
      <c r="F5592" s="4"/>
    </row>
    <row r="5593" spans="1:6" x14ac:dyDescent="0.4">
      <c r="A5593" s="4"/>
      <c r="B5593" s="4"/>
      <c r="D5593" s="4"/>
      <c r="E5593" s="4"/>
      <c r="F5593" s="4"/>
    </row>
    <row r="5594" spans="1:6" x14ac:dyDescent="0.4">
      <c r="A5594" s="4"/>
      <c r="B5594" s="4"/>
      <c r="D5594" s="4"/>
      <c r="E5594" s="4"/>
      <c r="F5594" s="4"/>
    </row>
    <row r="5595" spans="1:6" x14ac:dyDescent="0.4">
      <c r="A5595" s="4"/>
      <c r="B5595" s="4"/>
      <c r="D5595" s="4"/>
      <c r="E5595" s="4"/>
      <c r="F5595" s="4"/>
    </row>
    <row r="5596" spans="1:6" x14ac:dyDescent="0.4">
      <c r="A5596" s="4"/>
      <c r="B5596" s="4"/>
      <c r="D5596" s="4"/>
      <c r="E5596" s="4"/>
      <c r="F5596" s="4"/>
    </row>
    <row r="5597" spans="1:6" x14ac:dyDescent="0.4">
      <c r="A5597" s="4"/>
      <c r="B5597" s="4"/>
      <c r="D5597" s="4"/>
      <c r="E5597" s="4"/>
      <c r="F5597" s="4"/>
    </row>
    <row r="5598" spans="1:6" x14ac:dyDescent="0.4">
      <c r="A5598" s="4"/>
      <c r="B5598" s="4"/>
      <c r="D5598" s="4"/>
      <c r="E5598" s="4"/>
      <c r="F5598" s="4"/>
    </row>
    <row r="5599" spans="1:6" x14ac:dyDescent="0.4">
      <c r="A5599" s="4"/>
      <c r="B5599" s="4"/>
      <c r="D5599" s="4"/>
      <c r="E5599" s="4"/>
      <c r="F5599" s="4"/>
    </row>
    <row r="5600" spans="1:6" x14ac:dyDescent="0.4">
      <c r="A5600" s="4"/>
      <c r="B5600" s="4"/>
      <c r="D5600" s="4"/>
      <c r="E5600" s="4"/>
      <c r="F5600" s="4"/>
    </row>
    <row r="5601" spans="1:6" x14ac:dyDescent="0.4">
      <c r="A5601" s="4"/>
      <c r="B5601" s="4"/>
      <c r="D5601" s="4"/>
      <c r="E5601" s="4"/>
      <c r="F5601" s="4"/>
    </row>
    <row r="5602" spans="1:6" x14ac:dyDescent="0.4">
      <c r="A5602" s="4"/>
      <c r="B5602" s="4"/>
      <c r="D5602" s="4"/>
      <c r="E5602" s="4"/>
      <c r="F5602" s="4"/>
    </row>
    <row r="5603" spans="1:6" x14ac:dyDescent="0.4">
      <c r="A5603" s="4"/>
      <c r="B5603" s="4"/>
      <c r="D5603" s="4"/>
      <c r="E5603" s="4"/>
      <c r="F5603" s="4"/>
    </row>
    <row r="5604" spans="1:6" x14ac:dyDescent="0.4">
      <c r="A5604" s="4"/>
      <c r="B5604" s="4"/>
      <c r="D5604" s="4"/>
      <c r="E5604" s="4"/>
      <c r="F5604" s="4"/>
    </row>
    <row r="5605" spans="1:6" x14ac:dyDescent="0.4">
      <c r="A5605" s="4"/>
      <c r="B5605" s="4"/>
      <c r="D5605" s="4"/>
      <c r="E5605" s="4"/>
      <c r="F5605" s="4"/>
    </row>
    <row r="5606" spans="1:6" x14ac:dyDescent="0.4">
      <c r="A5606" s="4"/>
      <c r="B5606" s="4"/>
      <c r="D5606" s="4"/>
      <c r="E5606" s="4"/>
      <c r="F5606" s="4"/>
    </row>
    <row r="5607" spans="1:6" x14ac:dyDescent="0.4">
      <c r="A5607" s="4"/>
      <c r="B5607" s="4"/>
      <c r="D5607" s="4"/>
      <c r="E5607" s="4"/>
      <c r="F5607" s="4"/>
    </row>
    <row r="5608" spans="1:6" x14ac:dyDescent="0.4">
      <c r="A5608" s="4"/>
      <c r="B5608" s="4"/>
      <c r="D5608" s="4"/>
      <c r="E5608" s="4"/>
      <c r="F5608" s="4"/>
    </row>
    <row r="5609" spans="1:6" x14ac:dyDescent="0.4">
      <c r="A5609" s="4"/>
      <c r="B5609" s="4"/>
      <c r="D5609" s="4"/>
      <c r="E5609" s="4"/>
      <c r="F5609" s="4"/>
    </row>
    <row r="5610" spans="1:6" x14ac:dyDescent="0.4">
      <c r="A5610" s="4"/>
      <c r="B5610" s="4"/>
      <c r="D5610" s="4"/>
      <c r="E5610" s="4"/>
      <c r="F5610" s="4"/>
    </row>
    <row r="5611" spans="1:6" x14ac:dyDescent="0.4">
      <c r="A5611" s="4"/>
      <c r="B5611" s="4"/>
      <c r="D5611" s="4"/>
      <c r="E5611" s="4"/>
      <c r="F5611" s="4"/>
    </row>
    <row r="5612" spans="1:6" x14ac:dyDescent="0.4">
      <c r="A5612" s="4"/>
      <c r="B5612" s="4"/>
      <c r="D5612" s="4"/>
      <c r="E5612" s="4"/>
      <c r="F5612" s="4"/>
    </row>
    <row r="5613" spans="1:6" x14ac:dyDescent="0.4">
      <c r="A5613" s="4"/>
      <c r="B5613" s="4"/>
      <c r="D5613" s="4"/>
      <c r="E5613" s="4"/>
      <c r="F5613" s="4"/>
    </row>
    <row r="5614" spans="1:6" x14ac:dyDescent="0.4">
      <c r="A5614" s="4"/>
      <c r="B5614" s="4"/>
      <c r="D5614" s="4"/>
      <c r="E5614" s="4"/>
      <c r="F5614" s="4"/>
    </row>
    <row r="5615" spans="1:6" x14ac:dyDescent="0.4">
      <c r="A5615" s="4"/>
      <c r="B5615" s="4"/>
      <c r="D5615" s="4"/>
      <c r="E5615" s="4"/>
      <c r="F5615" s="4"/>
    </row>
    <row r="5616" spans="1:6" x14ac:dyDescent="0.4">
      <c r="A5616" s="4"/>
      <c r="B5616" s="4"/>
      <c r="D5616" s="4"/>
      <c r="E5616" s="4"/>
      <c r="F5616" s="4"/>
    </row>
    <row r="5617" spans="1:6" x14ac:dyDescent="0.4">
      <c r="A5617" s="4"/>
      <c r="B5617" s="4"/>
      <c r="D5617" s="4"/>
      <c r="E5617" s="4"/>
      <c r="F5617" s="4"/>
    </row>
    <row r="5618" spans="1:6" x14ac:dyDescent="0.4">
      <c r="A5618" s="4"/>
      <c r="B5618" s="4"/>
      <c r="D5618" s="4"/>
      <c r="E5618" s="4"/>
      <c r="F5618" s="4"/>
    </row>
    <row r="5619" spans="1:6" x14ac:dyDescent="0.4">
      <c r="A5619" s="4"/>
      <c r="B5619" s="4"/>
      <c r="D5619" s="4"/>
      <c r="E5619" s="4"/>
      <c r="F5619" s="4"/>
    </row>
    <row r="5620" spans="1:6" x14ac:dyDescent="0.4">
      <c r="A5620" s="4"/>
      <c r="B5620" s="4"/>
      <c r="D5620" s="4"/>
      <c r="E5620" s="4"/>
      <c r="F5620" s="4"/>
    </row>
    <row r="5621" spans="1:6" x14ac:dyDescent="0.4">
      <c r="A5621" s="4"/>
      <c r="B5621" s="4"/>
      <c r="D5621" s="4"/>
      <c r="E5621" s="4"/>
      <c r="F5621" s="4"/>
    </row>
    <row r="5622" spans="1:6" x14ac:dyDescent="0.4">
      <c r="A5622" s="4"/>
      <c r="B5622" s="4"/>
      <c r="D5622" s="4"/>
      <c r="E5622" s="4"/>
      <c r="F5622" s="4"/>
    </row>
    <row r="5623" spans="1:6" x14ac:dyDescent="0.4">
      <c r="A5623" s="4"/>
      <c r="B5623" s="4"/>
      <c r="D5623" s="4"/>
      <c r="E5623" s="4"/>
      <c r="F5623" s="4"/>
    </row>
    <row r="5624" spans="1:6" x14ac:dyDescent="0.4">
      <c r="A5624" s="4"/>
      <c r="B5624" s="4"/>
      <c r="D5624" s="4"/>
      <c r="E5624" s="4"/>
      <c r="F5624" s="4"/>
    </row>
    <row r="5625" spans="1:6" x14ac:dyDescent="0.4">
      <c r="A5625" s="4"/>
      <c r="B5625" s="4"/>
      <c r="D5625" s="4"/>
      <c r="E5625" s="4"/>
      <c r="F5625" s="4"/>
    </row>
    <row r="5626" spans="1:6" x14ac:dyDescent="0.4">
      <c r="A5626" s="4"/>
      <c r="B5626" s="4"/>
      <c r="D5626" s="4"/>
      <c r="E5626" s="4"/>
      <c r="F5626" s="4"/>
    </row>
    <row r="5627" spans="1:6" x14ac:dyDescent="0.4">
      <c r="A5627" s="4"/>
      <c r="B5627" s="4"/>
      <c r="D5627" s="4"/>
      <c r="E5627" s="4"/>
      <c r="F5627" s="4"/>
    </row>
    <row r="5628" spans="1:6" x14ac:dyDescent="0.4">
      <c r="A5628" s="4"/>
      <c r="B5628" s="4"/>
      <c r="D5628" s="4"/>
      <c r="E5628" s="4"/>
      <c r="F5628" s="4"/>
    </row>
    <row r="5629" spans="1:6" x14ac:dyDescent="0.4">
      <c r="A5629" s="4"/>
      <c r="B5629" s="4"/>
      <c r="D5629" s="4"/>
      <c r="E5629" s="4"/>
      <c r="F5629" s="4"/>
    </row>
    <row r="5630" spans="1:6" x14ac:dyDescent="0.4">
      <c r="A5630" s="4"/>
      <c r="B5630" s="4"/>
      <c r="D5630" s="4"/>
      <c r="E5630" s="4"/>
      <c r="F5630" s="4"/>
    </row>
    <row r="5631" spans="1:6" x14ac:dyDescent="0.4">
      <c r="A5631" s="4"/>
      <c r="B5631" s="4"/>
      <c r="D5631" s="4"/>
      <c r="E5631" s="4"/>
      <c r="F5631" s="4"/>
    </row>
    <row r="5632" spans="1:6" x14ac:dyDescent="0.4">
      <c r="A5632" s="4"/>
      <c r="B5632" s="4"/>
      <c r="D5632" s="4"/>
      <c r="E5632" s="4"/>
      <c r="F5632" s="4"/>
    </row>
    <row r="5633" spans="1:6" x14ac:dyDescent="0.4">
      <c r="A5633" s="4"/>
      <c r="B5633" s="4"/>
      <c r="D5633" s="4"/>
      <c r="E5633" s="4"/>
      <c r="F5633" s="4"/>
    </row>
    <row r="5634" spans="1:6" x14ac:dyDescent="0.4">
      <c r="A5634" s="4"/>
      <c r="B5634" s="4"/>
      <c r="D5634" s="4"/>
      <c r="E5634" s="4"/>
      <c r="F5634" s="4"/>
    </row>
    <row r="5635" spans="1:6" x14ac:dyDescent="0.4">
      <c r="A5635" s="4"/>
      <c r="B5635" s="4"/>
      <c r="D5635" s="4"/>
      <c r="E5635" s="4"/>
      <c r="F5635" s="4"/>
    </row>
    <row r="5636" spans="1:6" x14ac:dyDescent="0.4">
      <c r="A5636" s="4"/>
      <c r="B5636" s="4"/>
      <c r="D5636" s="4"/>
      <c r="E5636" s="4"/>
      <c r="F5636" s="4"/>
    </row>
    <row r="5637" spans="1:6" x14ac:dyDescent="0.4">
      <c r="A5637" s="4"/>
      <c r="B5637" s="4"/>
      <c r="D5637" s="4"/>
      <c r="E5637" s="4"/>
      <c r="F5637" s="4"/>
    </row>
    <row r="5638" spans="1:6" x14ac:dyDescent="0.4">
      <c r="A5638" s="4"/>
      <c r="B5638" s="4"/>
      <c r="D5638" s="4"/>
      <c r="E5638" s="4"/>
      <c r="F5638" s="4"/>
    </row>
    <row r="5639" spans="1:6" x14ac:dyDescent="0.4">
      <c r="A5639" s="4"/>
      <c r="B5639" s="4"/>
      <c r="D5639" s="4"/>
      <c r="E5639" s="4"/>
      <c r="F5639" s="4"/>
    </row>
    <row r="5640" spans="1:6" x14ac:dyDescent="0.4">
      <c r="A5640" s="4"/>
      <c r="B5640" s="4"/>
      <c r="D5640" s="4"/>
      <c r="E5640" s="4"/>
      <c r="F5640" s="4"/>
    </row>
    <row r="5641" spans="1:6" x14ac:dyDescent="0.4">
      <c r="A5641" s="4"/>
      <c r="B5641" s="4"/>
      <c r="D5641" s="4"/>
      <c r="E5641" s="4"/>
      <c r="F5641" s="4"/>
    </row>
    <row r="5642" spans="1:6" x14ac:dyDescent="0.4">
      <c r="A5642" s="4"/>
      <c r="B5642" s="4"/>
      <c r="D5642" s="4"/>
      <c r="E5642" s="4"/>
      <c r="F5642" s="4"/>
    </row>
    <row r="5643" spans="1:6" x14ac:dyDescent="0.4">
      <c r="A5643" s="4"/>
      <c r="B5643" s="4"/>
      <c r="D5643" s="4"/>
      <c r="E5643" s="4"/>
      <c r="F5643" s="4"/>
    </row>
    <row r="5644" spans="1:6" x14ac:dyDescent="0.4">
      <c r="A5644" s="4"/>
      <c r="B5644" s="4"/>
      <c r="D5644" s="4"/>
      <c r="E5644" s="4"/>
      <c r="F5644" s="4"/>
    </row>
    <row r="5645" spans="1:6" x14ac:dyDescent="0.4">
      <c r="A5645" s="4"/>
      <c r="B5645" s="4"/>
      <c r="D5645" s="4"/>
      <c r="E5645" s="4"/>
      <c r="F5645" s="4"/>
    </row>
    <row r="5646" spans="1:6" x14ac:dyDescent="0.4">
      <c r="A5646" s="4"/>
      <c r="B5646" s="4"/>
      <c r="D5646" s="4"/>
      <c r="E5646" s="4"/>
      <c r="F5646" s="4"/>
    </row>
    <row r="5647" spans="1:6" x14ac:dyDescent="0.4">
      <c r="A5647" s="4"/>
      <c r="B5647" s="4"/>
      <c r="D5647" s="4"/>
      <c r="E5647" s="4"/>
      <c r="F5647" s="4"/>
    </row>
    <row r="5648" spans="1:6" x14ac:dyDescent="0.4">
      <c r="A5648" s="4"/>
      <c r="B5648" s="4"/>
      <c r="D5648" s="4"/>
      <c r="E5648" s="4"/>
      <c r="F5648" s="4"/>
    </row>
    <row r="5649" spans="1:6" x14ac:dyDescent="0.4">
      <c r="A5649" s="4"/>
      <c r="B5649" s="4"/>
      <c r="D5649" s="4"/>
      <c r="E5649" s="4"/>
      <c r="F5649" s="4"/>
    </row>
    <row r="5650" spans="1:6" x14ac:dyDescent="0.4">
      <c r="A5650" s="4"/>
      <c r="B5650" s="4"/>
      <c r="D5650" s="4"/>
      <c r="E5650" s="4"/>
      <c r="F5650" s="4"/>
    </row>
    <row r="5651" spans="1:6" x14ac:dyDescent="0.4">
      <c r="A5651" s="4"/>
      <c r="B5651" s="4"/>
      <c r="D5651" s="4"/>
      <c r="E5651" s="4"/>
      <c r="F5651" s="4"/>
    </row>
    <row r="5652" spans="1:6" x14ac:dyDescent="0.4">
      <c r="A5652" s="4"/>
      <c r="B5652" s="4"/>
      <c r="D5652" s="4"/>
      <c r="E5652" s="4"/>
      <c r="F5652" s="4"/>
    </row>
    <row r="5653" spans="1:6" x14ac:dyDescent="0.4">
      <c r="A5653" s="4"/>
      <c r="B5653" s="4"/>
      <c r="D5653" s="4"/>
      <c r="E5653" s="4"/>
      <c r="F5653" s="4"/>
    </row>
    <row r="5654" spans="1:6" x14ac:dyDescent="0.4">
      <c r="A5654" s="4"/>
      <c r="B5654" s="4"/>
      <c r="D5654" s="4"/>
      <c r="E5654" s="4"/>
      <c r="F5654" s="4"/>
    </row>
    <row r="5655" spans="1:6" x14ac:dyDescent="0.4">
      <c r="A5655" s="4"/>
      <c r="B5655" s="4"/>
      <c r="D5655" s="4"/>
      <c r="E5655" s="4"/>
      <c r="F5655" s="4"/>
    </row>
    <row r="5656" spans="1:6" x14ac:dyDescent="0.4">
      <c r="A5656" s="4"/>
      <c r="B5656" s="4"/>
      <c r="D5656" s="4"/>
      <c r="E5656" s="4"/>
      <c r="F5656" s="4"/>
    </row>
    <row r="5657" spans="1:6" x14ac:dyDescent="0.4">
      <c r="A5657" s="4"/>
      <c r="B5657" s="4"/>
      <c r="D5657" s="4"/>
      <c r="E5657" s="4"/>
      <c r="F5657" s="4"/>
    </row>
    <row r="5658" spans="1:6" x14ac:dyDescent="0.4">
      <c r="A5658" s="4"/>
      <c r="B5658" s="4"/>
      <c r="D5658" s="4"/>
      <c r="E5658" s="4"/>
      <c r="F5658" s="4"/>
    </row>
    <row r="5659" spans="1:6" x14ac:dyDescent="0.4">
      <c r="A5659" s="4"/>
      <c r="B5659" s="4"/>
      <c r="D5659" s="4"/>
      <c r="E5659" s="4"/>
      <c r="F5659" s="4"/>
    </row>
    <row r="5660" spans="1:6" x14ac:dyDescent="0.4">
      <c r="A5660" s="4"/>
      <c r="B5660" s="4"/>
      <c r="D5660" s="4"/>
      <c r="E5660" s="4"/>
      <c r="F5660" s="4"/>
    </row>
    <row r="5661" spans="1:6" x14ac:dyDescent="0.4">
      <c r="A5661" s="4"/>
      <c r="B5661" s="4"/>
      <c r="D5661" s="4"/>
      <c r="E5661" s="4"/>
      <c r="F5661" s="4"/>
    </row>
    <row r="5662" spans="1:6" x14ac:dyDescent="0.4">
      <c r="A5662" s="4"/>
      <c r="B5662" s="4"/>
      <c r="D5662" s="4"/>
      <c r="E5662" s="4"/>
      <c r="F5662" s="4"/>
    </row>
    <row r="5663" spans="1:6" x14ac:dyDescent="0.4">
      <c r="A5663" s="4"/>
      <c r="B5663" s="4"/>
      <c r="D5663" s="4"/>
      <c r="E5663" s="4"/>
      <c r="F5663" s="4"/>
    </row>
    <row r="5664" spans="1:6" x14ac:dyDescent="0.4">
      <c r="A5664" s="4"/>
      <c r="B5664" s="4"/>
      <c r="D5664" s="4"/>
      <c r="E5664" s="4"/>
      <c r="F5664" s="4"/>
    </row>
    <row r="5665" spans="1:6" x14ac:dyDescent="0.4">
      <c r="A5665" s="4"/>
      <c r="B5665" s="4"/>
      <c r="D5665" s="4"/>
      <c r="E5665" s="4"/>
      <c r="F5665" s="4"/>
    </row>
    <row r="5666" spans="1:6" x14ac:dyDescent="0.4">
      <c r="A5666" s="4"/>
      <c r="B5666" s="4"/>
      <c r="D5666" s="4"/>
      <c r="E5666" s="4"/>
      <c r="F5666" s="4"/>
    </row>
    <row r="5667" spans="1:6" x14ac:dyDescent="0.4">
      <c r="A5667" s="4"/>
      <c r="B5667" s="4"/>
      <c r="D5667" s="4"/>
      <c r="E5667" s="4"/>
      <c r="F5667" s="4"/>
    </row>
    <row r="5668" spans="1:6" x14ac:dyDescent="0.4">
      <c r="A5668" s="4"/>
      <c r="B5668" s="4"/>
      <c r="D5668" s="4"/>
      <c r="E5668" s="4"/>
      <c r="F5668" s="4"/>
    </row>
    <row r="5669" spans="1:6" x14ac:dyDescent="0.4">
      <c r="A5669" s="4"/>
      <c r="B5669" s="4"/>
      <c r="D5669" s="4"/>
      <c r="E5669" s="4"/>
      <c r="F5669" s="4"/>
    </row>
    <row r="5670" spans="1:6" x14ac:dyDescent="0.4">
      <c r="A5670" s="4"/>
      <c r="B5670" s="4"/>
      <c r="D5670" s="4"/>
      <c r="E5670" s="4"/>
      <c r="F5670" s="4"/>
    </row>
    <row r="5671" spans="1:6" x14ac:dyDescent="0.4">
      <c r="A5671" s="4"/>
      <c r="B5671" s="4"/>
      <c r="D5671" s="4"/>
      <c r="E5671" s="4"/>
      <c r="F5671" s="4"/>
    </row>
    <row r="5672" spans="1:6" x14ac:dyDescent="0.4">
      <c r="A5672" s="4"/>
      <c r="B5672" s="4"/>
      <c r="D5672" s="4"/>
      <c r="E5672" s="4"/>
      <c r="F5672" s="4"/>
    </row>
    <row r="5673" spans="1:6" x14ac:dyDescent="0.4">
      <c r="A5673" s="4"/>
      <c r="B5673" s="4"/>
      <c r="D5673" s="4"/>
      <c r="E5673" s="4"/>
      <c r="F5673" s="4"/>
    </row>
    <row r="5674" spans="1:6" x14ac:dyDescent="0.4">
      <c r="A5674" s="4"/>
      <c r="B5674" s="4"/>
      <c r="D5674" s="4"/>
      <c r="E5674" s="4"/>
      <c r="F5674" s="4"/>
    </row>
    <row r="5675" spans="1:6" x14ac:dyDescent="0.4">
      <c r="A5675" s="4"/>
      <c r="B5675" s="4"/>
      <c r="D5675" s="4"/>
      <c r="E5675" s="4"/>
      <c r="F5675" s="4"/>
    </row>
    <row r="5676" spans="1:6" x14ac:dyDescent="0.4">
      <c r="A5676" s="4"/>
      <c r="B5676" s="4"/>
      <c r="D5676" s="4"/>
      <c r="E5676" s="4"/>
      <c r="F5676" s="4"/>
    </row>
    <row r="5677" spans="1:6" x14ac:dyDescent="0.4">
      <c r="A5677" s="4"/>
      <c r="B5677" s="4"/>
      <c r="D5677" s="4"/>
      <c r="E5677" s="4"/>
      <c r="F5677" s="4"/>
    </row>
    <row r="5678" spans="1:6" x14ac:dyDescent="0.4">
      <c r="A5678" s="4"/>
      <c r="B5678" s="4"/>
      <c r="D5678" s="4"/>
      <c r="E5678" s="4"/>
      <c r="F5678" s="4"/>
    </row>
    <row r="5679" spans="1:6" x14ac:dyDescent="0.4">
      <c r="A5679" s="4"/>
      <c r="B5679" s="4"/>
      <c r="D5679" s="4"/>
      <c r="E5679" s="4"/>
      <c r="F5679" s="4"/>
    </row>
    <row r="5680" spans="1:6" x14ac:dyDescent="0.4">
      <c r="A5680" s="4"/>
      <c r="B5680" s="4"/>
      <c r="D5680" s="4"/>
      <c r="E5680" s="4"/>
      <c r="F5680" s="4"/>
    </row>
    <row r="5681" spans="1:6" x14ac:dyDescent="0.4">
      <c r="A5681" s="4"/>
      <c r="B5681" s="4"/>
      <c r="D5681" s="4"/>
      <c r="E5681" s="4"/>
      <c r="F5681" s="4"/>
    </row>
    <row r="5682" spans="1:6" x14ac:dyDescent="0.4">
      <c r="A5682" s="4"/>
      <c r="B5682" s="4"/>
      <c r="D5682" s="4"/>
      <c r="E5682" s="4"/>
      <c r="F5682" s="4"/>
    </row>
    <row r="5683" spans="1:6" x14ac:dyDescent="0.4">
      <c r="A5683" s="4"/>
      <c r="B5683" s="4"/>
      <c r="D5683" s="4"/>
      <c r="E5683" s="4"/>
      <c r="F5683" s="4"/>
    </row>
    <row r="5684" spans="1:6" x14ac:dyDescent="0.4">
      <c r="A5684" s="4"/>
      <c r="B5684" s="4"/>
      <c r="D5684" s="4"/>
      <c r="E5684" s="4"/>
      <c r="F5684" s="4"/>
    </row>
    <row r="5685" spans="1:6" x14ac:dyDescent="0.4">
      <c r="A5685" s="4"/>
      <c r="B5685" s="4"/>
      <c r="D5685" s="4"/>
      <c r="E5685" s="4"/>
      <c r="F5685" s="4"/>
    </row>
    <row r="5686" spans="1:6" x14ac:dyDescent="0.4">
      <c r="A5686" s="4"/>
      <c r="B5686" s="4"/>
      <c r="D5686" s="4"/>
      <c r="E5686" s="4"/>
      <c r="F5686" s="4"/>
    </row>
    <row r="5687" spans="1:6" x14ac:dyDescent="0.4">
      <c r="A5687" s="4"/>
      <c r="B5687" s="4"/>
      <c r="D5687" s="4"/>
      <c r="E5687" s="4"/>
      <c r="F5687" s="4"/>
    </row>
    <row r="5688" spans="1:6" x14ac:dyDescent="0.4">
      <c r="A5688" s="4"/>
      <c r="B5688" s="4"/>
      <c r="D5688" s="4"/>
      <c r="E5688" s="4"/>
      <c r="F5688" s="4"/>
    </row>
    <row r="5689" spans="1:6" x14ac:dyDescent="0.4">
      <c r="A5689" s="4"/>
      <c r="B5689" s="4"/>
      <c r="D5689" s="4"/>
      <c r="E5689" s="4"/>
      <c r="F5689" s="4"/>
    </row>
    <row r="5690" spans="1:6" x14ac:dyDescent="0.4">
      <c r="A5690" s="4"/>
      <c r="B5690" s="4"/>
      <c r="D5690" s="4"/>
      <c r="E5690" s="4"/>
      <c r="F5690" s="4"/>
    </row>
    <row r="5691" spans="1:6" x14ac:dyDescent="0.4">
      <c r="A5691" s="4"/>
      <c r="B5691" s="4"/>
      <c r="D5691" s="4"/>
      <c r="E5691" s="4"/>
      <c r="F5691" s="4"/>
    </row>
    <row r="5692" spans="1:6" x14ac:dyDescent="0.4">
      <c r="A5692" s="4"/>
      <c r="B5692" s="4"/>
      <c r="D5692" s="4"/>
      <c r="E5692" s="4"/>
      <c r="F5692" s="4"/>
    </row>
    <row r="5693" spans="1:6" x14ac:dyDescent="0.4">
      <c r="A5693" s="4"/>
      <c r="B5693" s="4"/>
      <c r="D5693" s="4"/>
      <c r="E5693" s="4"/>
      <c r="F5693" s="4"/>
    </row>
    <row r="5694" spans="1:6" x14ac:dyDescent="0.4">
      <c r="A5694" s="4"/>
      <c r="B5694" s="4"/>
      <c r="D5694" s="4"/>
      <c r="E5694" s="4"/>
      <c r="F5694" s="4"/>
    </row>
    <row r="5695" spans="1:6" x14ac:dyDescent="0.4">
      <c r="A5695" s="4"/>
      <c r="B5695" s="4"/>
      <c r="D5695" s="4"/>
      <c r="E5695" s="4"/>
      <c r="F5695" s="4"/>
    </row>
    <row r="5696" spans="1:6" x14ac:dyDescent="0.4">
      <c r="A5696" s="4"/>
      <c r="B5696" s="4"/>
      <c r="D5696" s="4"/>
      <c r="E5696" s="4"/>
      <c r="F5696" s="4"/>
    </row>
    <row r="5697" spans="1:6" x14ac:dyDescent="0.4">
      <c r="A5697" s="4"/>
      <c r="B5697" s="4"/>
      <c r="D5697" s="4"/>
      <c r="E5697" s="4"/>
      <c r="F5697" s="4"/>
    </row>
    <row r="5698" spans="1:6" x14ac:dyDescent="0.4">
      <c r="A5698" s="4"/>
      <c r="B5698" s="4"/>
      <c r="D5698" s="4"/>
      <c r="E5698" s="4"/>
      <c r="F5698" s="4"/>
    </row>
    <row r="5699" spans="1:6" x14ac:dyDescent="0.4">
      <c r="A5699" s="4"/>
      <c r="B5699" s="4"/>
      <c r="D5699" s="4"/>
      <c r="E5699" s="4"/>
      <c r="F5699" s="4"/>
    </row>
    <row r="5700" spans="1:6" x14ac:dyDescent="0.4">
      <c r="A5700" s="4"/>
      <c r="B5700" s="4"/>
      <c r="D5700" s="4"/>
      <c r="E5700" s="4"/>
      <c r="F5700" s="4"/>
    </row>
    <row r="5701" spans="1:6" x14ac:dyDescent="0.4">
      <c r="A5701" s="4"/>
      <c r="B5701" s="4"/>
      <c r="D5701" s="4"/>
      <c r="E5701" s="4"/>
      <c r="F5701" s="4"/>
    </row>
    <row r="5702" spans="1:6" x14ac:dyDescent="0.4">
      <c r="A5702" s="4"/>
      <c r="B5702" s="4"/>
      <c r="D5702" s="4"/>
      <c r="E5702" s="4"/>
      <c r="F5702" s="4"/>
    </row>
    <row r="5703" spans="1:6" x14ac:dyDescent="0.4">
      <c r="A5703" s="4"/>
      <c r="B5703" s="4"/>
      <c r="D5703" s="4"/>
      <c r="E5703" s="4"/>
      <c r="F5703" s="4"/>
    </row>
    <row r="5704" spans="1:6" x14ac:dyDescent="0.4">
      <c r="A5704" s="4"/>
      <c r="B5704" s="4"/>
      <c r="D5704" s="4"/>
      <c r="E5704" s="4"/>
      <c r="F5704" s="4"/>
    </row>
    <row r="5705" spans="1:6" x14ac:dyDescent="0.4">
      <c r="A5705" s="4"/>
      <c r="B5705" s="4"/>
      <c r="D5705" s="4"/>
      <c r="E5705" s="4"/>
      <c r="F5705" s="4"/>
    </row>
    <row r="5706" spans="1:6" x14ac:dyDescent="0.4">
      <c r="A5706" s="4"/>
      <c r="B5706" s="4"/>
      <c r="D5706" s="4"/>
      <c r="E5706" s="4"/>
      <c r="F5706" s="4"/>
    </row>
    <row r="5707" spans="1:6" x14ac:dyDescent="0.4">
      <c r="A5707" s="4"/>
      <c r="B5707" s="4"/>
      <c r="D5707" s="4"/>
      <c r="E5707" s="4"/>
      <c r="F5707" s="4"/>
    </row>
    <row r="5708" spans="1:6" x14ac:dyDescent="0.4">
      <c r="A5708" s="4"/>
      <c r="B5708" s="4"/>
      <c r="D5708" s="4"/>
      <c r="E5708" s="4"/>
      <c r="F5708" s="4"/>
    </row>
    <row r="5709" spans="1:6" x14ac:dyDescent="0.4">
      <c r="A5709" s="4"/>
      <c r="B5709" s="4"/>
      <c r="D5709" s="4"/>
      <c r="E5709" s="4"/>
      <c r="F5709" s="4"/>
    </row>
    <row r="5710" spans="1:6" x14ac:dyDescent="0.4">
      <c r="A5710" s="4"/>
      <c r="B5710" s="4"/>
      <c r="D5710" s="4"/>
      <c r="E5710" s="4"/>
      <c r="F5710" s="4"/>
    </row>
    <row r="5711" spans="1:6" x14ac:dyDescent="0.4">
      <c r="A5711" s="4"/>
      <c r="B5711" s="4"/>
      <c r="D5711" s="4"/>
      <c r="E5711" s="4"/>
      <c r="F5711" s="4"/>
    </row>
    <row r="5712" spans="1:6" x14ac:dyDescent="0.4">
      <c r="A5712" s="4"/>
      <c r="B5712" s="4"/>
      <c r="D5712" s="4"/>
      <c r="E5712" s="4"/>
      <c r="F5712" s="4"/>
    </row>
    <row r="5713" spans="1:6" x14ac:dyDescent="0.4">
      <c r="A5713" s="4"/>
      <c r="B5713" s="4"/>
      <c r="D5713" s="4"/>
      <c r="E5713" s="4"/>
      <c r="F5713" s="4"/>
    </row>
    <row r="5714" spans="1:6" x14ac:dyDescent="0.4">
      <c r="A5714" s="4"/>
      <c r="B5714" s="4"/>
      <c r="D5714" s="4"/>
      <c r="E5714" s="4"/>
      <c r="F5714" s="4"/>
    </row>
    <row r="5715" spans="1:6" x14ac:dyDescent="0.4">
      <c r="A5715" s="4"/>
      <c r="B5715" s="4"/>
      <c r="D5715" s="4"/>
      <c r="E5715" s="4"/>
      <c r="F5715" s="4"/>
    </row>
    <row r="5716" spans="1:6" x14ac:dyDescent="0.4">
      <c r="A5716" s="4"/>
      <c r="B5716" s="4"/>
      <c r="D5716" s="4"/>
      <c r="E5716" s="4"/>
      <c r="F5716" s="4"/>
    </row>
    <row r="5717" spans="1:6" x14ac:dyDescent="0.4">
      <c r="A5717" s="4"/>
      <c r="B5717" s="4"/>
      <c r="D5717" s="4"/>
      <c r="E5717" s="4"/>
      <c r="F5717" s="4"/>
    </row>
    <row r="5718" spans="1:6" x14ac:dyDescent="0.4">
      <c r="A5718" s="4"/>
      <c r="B5718" s="4"/>
      <c r="D5718" s="4"/>
      <c r="E5718" s="4"/>
      <c r="F5718" s="4"/>
    </row>
    <row r="5719" spans="1:6" x14ac:dyDescent="0.4">
      <c r="A5719" s="4"/>
      <c r="B5719" s="4"/>
      <c r="D5719" s="4"/>
      <c r="E5719" s="4"/>
      <c r="F5719" s="4"/>
    </row>
    <row r="5720" spans="1:6" x14ac:dyDescent="0.4">
      <c r="A5720" s="4"/>
      <c r="B5720" s="4"/>
      <c r="D5720" s="4"/>
      <c r="E5720" s="4"/>
      <c r="F5720" s="4"/>
    </row>
    <row r="5721" spans="1:6" x14ac:dyDescent="0.4">
      <c r="A5721" s="4"/>
      <c r="B5721" s="4"/>
      <c r="D5721" s="4"/>
      <c r="E5721" s="4"/>
      <c r="F5721" s="4"/>
    </row>
    <row r="5722" spans="1:6" x14ac:dyDescent="0.4">
      <c r="A5722" s="4"/>
      <c r="B5722" s="4"/>
      <c r="D5722" s="4"/>
      <c r="E5722" s="4"/>
      <c r="F5722" s="4"/>
    </row>
    <row r="5723" spans="1:6" x14ac:dyDescent="0.4">
      <c r="A5723" s="4"/>
      <c r="B5723" s="4"/>
      <c r="D5723" s="4"/>
      <c r="E5723" s="4"/>
      <c r="F5723" s="4"/>
    </row>
    <row r="5724" spans="1:6" x14ac:dyDescent="0.4">
      <c r="A5724" s="4"/>
      <c r="B5724" s="4"/>
      <c r="D5724" s="4"/>
      <c r="E5724" s="4"/>
      <c r="F5724" s="4"/>
    </row>
    <row r="5725" spans="1:6" x14ac:dyDescent="0.4">
      <c r="A5725" s="4"/>
      <c r="B5725" s="4"/>
      <c r="D5725" s="4"/>
      <c r="E5725" s="4"/>
      <c r="F5725" s="4"/>
    </row>
    <row r="5726" spans="1:6" x14ac:dyDescent="0.4">
      <c r="A5726" s="4"/>
      <c r="B5726" s="4"/>
      <c r="D5726" s="4"/>
      <c r="E5726" s="4"/>
      <c r="F5726" s="4"/>
    </row>
    <row r="5727" spans="1:6" x14ac:dyDescent="0.4">
      <c r="A5727" s="4"/>
      <c r="B5727" s="4"/>
      <c r="D5727" s="4"/>
      <c r="E5727" s="4"/>
      <c r="F5727" s="4"/>
    </row>
    <row r="5728" spans="1:6" x14ac:dyDescent="0.4">
      <c r="A5728" s="4"/>
      <c r="B5728" s="4"/>
      <c r="D5728" s="4"/>
      <c r="E5728" s="4"/>
      <c r="F5728" s="4"/>
    </row>
    <row r="5729" spans="1:6" x14ac:dyDescent="0.4">
      <c r="A5729" s="4"/>
      <c r="B5729" s="4"/>
      <c r="D5729" s="4"/>
      <c r="E5729" s="4"/>
      <c r="F5729" s="4"/>
    </row>
    <row r="5730" spans="1:6" x14ac:dyDescent="0.4">
      <c r="A5730" s="4"/>
      <c r="B5730" s="4"/>
      <c r="D5730" s="4"/>
      <c r="E5730" s="4"/>
      <c r="F5730" s="4"/>
    </row>
    <row r="5731" spans="1:6" x14ac:dyDescent="0.4">
      <c r="A5731" s="4"/>
      <c r="B5731" s="4"/>
      <c r="D5731" s="4"/>
      <c r="E5731" s="4"/>
      <c r="F5731" s="4"/>
    </row>
    <row r="5732" spans="1:6" x14ac:dyDescent="0.4">
      <c r="A5732" s="4"/>
      <c r="B5732" s="4"/>
      <c r="D5732" s="4"/>
      <c r="E5732" s="4"/>
      <c r="F5732" s="4"/>
    </row>
    <row r="5733" spans="1:6" x14ac:dyDescent="0.4">
      <c r="A5733" s="4"/>
      <c r="B5733" s="4"/>
      <c r="D5733" s="4"/>
      <c r="E5733" s="4"/>
      <c r="F5733" s="4"/>
    </row>
    <row r="5734" spans="1:6" x14ac:dyDescent="0.4">
      <c r="A5734" s="4"/>
      <c r="B5734" s="4"/>
      <c r="D5734" s="4"/>
      <c r="E5734" s="4"/>
      <c r="F5734" s="4"/>
    </row>
    <row r="5735" spans="1:6" x14ac:dyDescent="0.4">
      <c r="A5735" s="4"/>
      <c r="B5735" s="4"/>
      <c r="D5735" s="4"/>
      <c r="E5735" s="4"/>
      <c r="F5735" s="4"/>
    </row>
    <row r="5736" spans="1:6" x14ac:dyDescent="0.4">
      <c r="A5736" s="4"/>
      <c r="B5736" s="4"/>
      <c r="D5736" s="4"/>
      <c r="E5736" s="4"/>
      <c r="F5736" s="4"/>
    </row>
    <row r="5737" spans="1:6" x14ac:dyDescent="0.4">
      <c r="A5737" s="4"/>
      <c r="B5737" s="4"/>
      <c r="D5737" s="4"/>
      <c r="E5737" s="4"/>
      <c r="F5737" s="4"/>
    </row>
    <row r="5738" spans="1:6" x14ac:dyDescent="0.4">
      <c r="A5738" s="4"/>
      <c r="B5738" s="4"/>
      <c r="D5738" s="4"/>
      <c r="E5738" s="4"/>
      <c r="F5738" s="4"/>
    </row>
    <row r="5739" spans="1:6" x14ac:dyDescent="0.4">
      <c r="A5739" s="4"/>
      <c r="B5739" s="4"/>
      <c r="D5739" s="4"/>
      <c r="E5739" s="4"/>
      <c r="F5739" s="4"/>
    </row>
    <row r="5740" spans="1:6" x14ac:dyDescent="0.4">
      <c r="A5740" s="4"/>
      <c r="B5740" s="4"/>
      <c r="D5740" s="4"/>
      <c r="E5740" s="4"/>
      <c r="F5740" s="4"/>
    </row>
    <row r="5741" spans="1:6" x14ac:dyDescent="0.4">
      <c r="A5741" s="4"/>
      <c r="B5741" s="4"/>
      <c r="D5741" s="4"/>
      <c r="E5741" s="4"/>
      <c r="F5741" s="4"/>
    </row>
    <row r="5742" spans="1:6" x14ac:dyDescent="0.4">
      <c r="A5742" s="4"/>
      <c r="B5742" s="4"/>
      <c r="D5742" s="4"/>
      <c r="E5742" s="4"/>
      <c r="F5742" s="4"/>
    </row>
    <row r="5743" spans="1:6" x14ac:dyDescent="0.4">
      <c r="A5743" s="4"/>
      <c r="B5743" s="4"/>
      <c r="D5743" s="4"/>
      <c r="E5743" s="4"/>
      <c r="F5743" s="4"/>
    </row>
    <row r="5744" spans="1:6" x14ac:dyDescent="0.4">
      <c r="A5744" s="4"/>
      <c r="B5744" s="4"/>
      <c r="D5744" s="4"/>
      <c r="E5744" s="4"/>
      <c r="F5744" s="4"/>
    </row>
    <row r="5745" spans="1:6" x14ac:dyDescent="0.4">
      <c r="A5745" s="4"/>
      <c r="B5745" s="4"/>
      <c r="D5745" s="4"/>
      <c r="E5745" s="4"/>
      <c r="F5745" s="4"/>
    </row>
    <row r="5746" spans="1:6" x14ac:dyDescent="0.4">
      <c r="A5746" s="4"/>
      <c r="B5746" s="4"/>
      <c r="D5746" s="4"/>
      <c r="E5746" s="4"/>
      <c r="F5746" s="4"/>
    </row>
    <row r="5747" spans="1:6" x14ac:dyDescent="0.4">
      <c r="A5747" s="4"/>
      <c r="B5747" s="4"/>
      <c r="D5747" s="4"/>
      <c r="E5747" s="4"/>
      <c r="F5747" s="4"/>
    </row>
    <row r="5748" spans="1:6" x14ac:dyDescent="0.4">
      <c r="A5748" s="4"/>
      <c r="B5748" s="4"/>
      <c r="D5748" s="4"/>
      <c r="E5748" s="4"/>
      <c r="F5748" s="4"/>
    </row>
    <row r="5749" spans="1:6" x14ac:dyDescent="0.4">
      <c r="A5749" s="4"/>
      <c r="B5749" s="4"/>
      <c r="D5749" s="4"/>
      <c r="E5749" s="4"/>
      <c r="F5749" s="4"/>
    </row>
    <row r="5750" spans="1:6" x14ac:dyDescent="0.4">
      <c r="A5750" s="4"/>
      <c r="B5750" s="4"/>
      <c r="D5750" s="4"/>
      <c r="E5750" s="4"/>
      <c r="F5750" s="4"/>
    </row>
    <row r="5751" spans="1:6" x14ac:dyDescent="0.4">
      <c r="A5751" s="4"/>
      <c r="B5751" s="4"/>
      <c r="D5751" s="4"/>
      <c r="E5751" s="4"/>
      <c r="F5751" s="4"/>
    </row>
    <row r="5752" spans="1:6" x14ac:dyDescent="0.4">
      <c r="A5752" s="4"/>
      <c r="B5752" s="4"/>
      <c r="D5752" s="4"/>
      <c r="E5752" s="4"/>
      <c r="F5752" s="4"/>
    </row>
    <row r="5753" spans="1:6" x14ac:dyDescent="0.4">
      <c r="A5753" s="4"/>
      <c r="B5753" s="4"/>
      <c r="D5753" s="4"/>
      <c r="E5753" s="4"/>
      <c r="F5753" s="4"/>
    </row>
    <row r="5754" spans="1:6" x14ac:dyDescent="0.4">
      <c r="A5754" s="4"/>
      <c r="B5754" s="4"/>
      <c r="D5754" s="4"/>
      <c r="E5754" s="4"/>
      <c r="F5754" s="4"/>
    </row>
    <row r="5755" spans="1:6" x14ac:dyDescent="0.4">
      <c r="A5755" s="4"/>
      <c r="B5755" s="4"/>
      <c r="D5755" s="4"/>
      <c r="E5755" s="4"/>
      <c r="F5755" s="4"/>
    </row>
    <row r="5756" spans="1:6" x14ac:dyDescent="0.4">
      <c r="A5756" s="4"/>
      <c r="B5756" s="4"/>
      <c r="D5756" s="4"/>
      <c r="E5756" s="4"/>
      <c r="F5756" s="4"/>
    </row>
    <row r="5757" spans="1:6" x14ac:dyDescent="0.4">
      <c r="A5757" s="4"/>
      <c r="B5757" s="4"/>
      <c r="D5757" s="4"/>
      <c r="E5757" s="4"/>
      <c r="F5757" s="4"/>
    </row>
    <row r="5758" spans="1:6" x14ac:dyDescent="0.4">
      <c r="A5758" s="4"/>
      <c r="B5758" s="4"/>
      <c r="D5758" s="4"/>
      <c r="E5758" s="4"/>
      <c r="F5758" s="4"/>
    </row>
    <row r="5759" spans="1:6" x14ac:dyDescent="0.4">
      <c r="A5759" s="4"/>
      <c r="B5759" s="4"/>
      <c r="D5759" s="4"/>
      <c r="E5759" s="4"/>
      <c r="F5759" s="4"/>
    </row>
    <row r="5760" spans="1:6" x14ac:dyDescent="0.4">
      <c r="A5760" s="4"/>
      <c r="B5760" s="4"/>
      <c r="D5760" s="4"/>
      <c r="E5760" s="4"/>
      <c r="F5760" s="4"/>
    </row>
    <row r="5761" spans="1:6" x14ac:dyDescent="0.4">
      <c r="A5761" s="4"/>
      <c r="B5761" s="4"/>
      <c r="D5761" s="4"/>
      <c r="E5761" s="4"/>
      <c r="F5761" s="4"/>
    </row>
    <row r="5762" spans="1:6" x14ac:dyDescent="0.4">
      <c r="A5762" s="4"/>
      <c r="B5762" s="4"/>
      <c r="D5762" s="4"/>
      <c r="E5762" s="4"/>
      <c r="F5762" s="4"/>
    </row>
    <row r="5763" spans="1:6" x14ac:dyDescent="0.4">
      <c r="A5763" s="4"/>
      <c r="B5763" s="4"/>
      <c r="D5763" s="4"/>
      <c r="E5763" s="4"/>
      <c r="F5763" s="4"/>
    </row>
    <row r="5764" spans="1:6" x14ac:dyDescent="0.4">
      <c r="A5764" s="4"/>
      <c r="B5764" s="4"/>
      <c r="D5764" s="4"/>
      <c r="E5764" s="4"/>
      <c r="F5764" s="4"/>
    </row>
    <row r="5765" spans="1:6" x14ac:dyDescent="0.4">
      <c r="A5765" s="4"/>
      <c r="B5765" s="4"/>
      <c r="D5765" s="4"/>
      <c r="E5765" s="4"/>
      <c r="F5765" s="4"/>
    </row>
    <row r="5766" spans="1:6" x14ac:dyDescent="0.4">
      <c r="A5766" s="4"/>
      <c r="B5766" s="4"/>
      <c r="D5766" s="4"/>
      <c r="E5766" s="4"/>
      <c r="F5766" s="4"/>
    </row>
    <row r="5767" spans="1:6" x14ac:dyDescent="0.4">
      <c r="A5767" s="4"/>
      <c r="B5767" s="4"/>
      <c r="D5767" s="4"/>
      <c r="E5767" s="4"/>
      <c r="F5767" s="4"/>
    </row>
    <row r="5768" spans="1:6" x14ac:dyDescent="0.4">
      <c r="A5768" s="4"/>
      <c r="B5768" s="4"/>
      <c r="D5768" s="4"/>
      <c r="E5768" s="4"/>
      <c r="F5768" s="4"/>
    </row>
    <row r="5769" spans="1:6" x14ac:dyDescent="0.4">
      <c r="A5769" s="4"/>
      <c r="B5769" s="4"/>
      <c r="D5769" s="4"/>
      <c r="E5769" s="4"/>
      <c r="F5769" s="4"/>
    </row>
    <row r="5770" spans="1:6" x14ac:dyDescent="0.4">
      <c r="A5770" s="4"/>
      <c r="B5770" s="4"/>
      <c r="D5770" s="4"/>
      <c r="E5770" s="4"/>
      <c r="F5770" s="4"/>
    </row>
    <row r="5771" spans="1:6" x14ac:dyDescent="0.4">
      <c r="A5771" s="4"/>
      <c r="B5771" s="4"/>
      <c r="D5771" s="4"/>
      <c r="E5771" s="4"/>
      <c r="F5771" s="4"/>
    </row>
    <row r="5772" spans="1:6" x14ac:dyDescent="0.4">
      <c r="A5772" s="4"/>
      <c r="B5772" s="4"/>
      <c r="D5772" s="4"/>
      <c r="E5772" s="4"/>
      <c r="F5772" s="4"/>
    </row>
    <row r="5773" spans="1:6" x14ac:dyDescent="0.4">
      <c r="A5773" s="4"/>
      <c r="B5773" s="4"/>
      <c r="D5773" s="4"/>
      <c r="E5773" s="4"/>
      <c r="F5773" s="4"/>
    </row>
    <row r="5774" spans="1:6" x14ac:dyDescent="0.4">
      <c r="A5774" s="4"/>
      <c r="B5774" s="4"/>
      <c r="D5774" s="4"/>
      <c r="E5774" s="4"/>
      <c r="F5774" s="4"/>
    </row>
    <row r="5775" spans="1:6" x14ac:dyDescent="0.4">
      <c r="A5775" s="4"/>
      <c r="B5775" s="4"/>
      <c r="D5775" s="4"/>
      <c r="E5775" s="4"/>
      <c r="F5775" s="4"/>
    </row>
    <row r="5776" spans="1:6" x14ac:dyDescent="0.4">
      <c r="A5776" s="4"/>
      <c r="B5776" s="4"/>
      <c r="D5776" s="4"/>
      <c r="E5776" s="4"/>
      <c r="F5776" s="4"/>
    </row>
    <row r="5777" spans="1:6" x14ac:dyDescent="0.4">
      <c r="A5777" s="4"/>
      <c r="B5777" s="4"/>
      <c r="D5777" s="4"/>
      <c r="E5777" s="4"/>
      <c r="F5777" s="4"/>
    </row>
    <row r="5778" spans="1:6" x14ac:dyDescent="0.4">
      <c r="A5778" s="4"/>
      <c r="B5778" s="4"/>
      <c r="D5778" s="4"/>
      <c r="E5778" s="4"/>
      <c r="F5778" s="4"/>
    </row>
    <row r="5779" spans="1:6" x14ac:dyDescent="0.4">
      <c r="A5779" s="4"/>
      <c r="B5779" s="4"/>
      <c r="D5779" s="4"/>
      <c r="E5779" s="4"/>
      <c r="F5779" s="4"/>
    </row>
    <row r="5780" spans="1:6" x14ac:dyDescent="0.4">
      <c r="A5780" s="4"/>
      <c r="B5780" s="4"/>
      <c r="D5780" s="4"/>
      <c r="E5780" s="4"/>
      <c r="F5780" s="4"/>
    </row>
    <row r="5781" spans="1:6" x14ac:dyDescent="0.4">
      <c r="A5781" s="4"/>
      <c r="B5781" s="4"/>
      <c r="D5781" s="4"/>
      <c r="E5781" s="4"/>
      <c r="F5781" s="4"/>
    </row>
    <row r="5782" spans="1:6" x14ac:dyDescent="0.4">
      <c r="A5782" s="4"/>
      <c r="B5782" s="4"/>
      <c r="D5782" s="4"/>
      <c r="E5782" s="4"/>
      <c r="F5782" s="4"/>
    </row>
    <row r="5783" spans="1:6" x14ac:dyDescent="0.4">
      <c r="A5783" s="4"/>
      <c r="B5783" s="4"/>
      <c r="D5783" s="4"/>
      <c r="E5783" s="4"/>
      <c r="F5783" s="4"/>
    </row>
    <row r="5784" spans="1:6" x14ac:dyDescent="0.4">
      <c r="A5784" s="4"/>
      <c r="B5784" s="4"/>
      <c r="D5784" s="4"/>
      <c r="E5784" s="4"/>
      <c r="F5784" s="4"/>
    </row>
    <row r="5785" spans="1:6" x14ac:dyDescent="0.4">
      <c r="A5785" s="4"/>
      <c r="B5785" s="4"/>
      <c r="D5785" s="4"/>
      <c r="E5785" s="4"/>
      <c r="F5785" s="4"/>
    </row>
    <row r="5786" spans="1:6" x14ac:dyDescent="0.4">
      <c r="A5786" s="4"/>
      <c r="B5786" s="4"/>
      <c r="D5786" s="4"/>
      <c r="E5786" s="4"/>
      <c r="F5786" s="4"/>
    </row>
    <row r="5787" spans="1:6" x14ac:dyDescent="0.4">
      <c r="A5787" s="4"/>
      <c r="B5787" s="4"/>
      <c r="D5787" s="4"/>
      <c r="E5787" s="4"/>
      <c r="F5787" s="4"/>
    </row>
    <row r="5788" spans="1:6" x14ac:dyDescent="0.4">
      <c r="A5788" s="4"/>
      <c r="B5788" s="4"/>
      <c r="D5788" s="4"/>
      <c r="E5788" s="4"/>
      <c r="F5788" s="4"/>
    </row>
    <row r="5789" spans="1:6" x14ac:dyDescent="0.4">
      <c r="A5789" s="4"/>
      <c r="B5789" s="4"/>
      <c r="D5789" s="4"/>
      <c r="E5789" s="4"/>
      <c r="F5789" s="4"/>
    </row>
    <row r="5790" spans="1:6" x14ac:dyDescent="0.4">
      <c r="A5790" s="4"/>
      <c r="B5790" s="4"/>
      <c r="D5790" s="4"/>
      <c r="E5790" s="4"/>
      <c r="F5790" s="4"/>
    </row>
    <row r="5791" spans="1:6" x14ac:dyDescent="0.4">
      <c r="A5791" s="4"/>
      <c r="B5791" s="4"/>
      <c r="D5791" s="4"/>
      <c r="E5791" s="4"/>
      <c r="F5791" s="4"/>
    </row>
    <row r="5792" spans="1:6" x14ac:dyDescent="0.4">
      <c r="A5792" s="4"/>
      <c r="B5792" s="4"/>
      <c r="D5792" s="4"/>
      <c r="E5792" s="4"/>
      <c r="F5792" s="4"/>
    </row>
    <row r="5793" spans="1:6" x14ac:dyDescent="0.4">
      <c r="A5793" s="4"/>
      <c r="B5793" s="4"/>
      <c r="D5793" s="4"/>
      <c r="E5793" s="4"/>
      <c r="F5793" s="4"/>
    </row>
    <row r="5794" spans="1:6" x14ac:dyDescent="0.4">
      <c r="A5794" s="4"/>
      <c r="B5794" s="4"/>
      <c r="D5794" s="4"/>
      <c r="E5794" s="4"/>
      <c r="F5794" s="4"/>
    </row>
    <row r="5795" spans="1:6" x14ac:dyDescent="0.4">
      <c r="A5795" s="4"/>
      <c r="B5795" s="4"/>
      <c r="D5795" s="4"/>
      <c r="E5795" s="4"/>
      <c r="F5795" s="4"/>
    </row>
    <row r="5796" spans="1:6" x14ac:dyDescent="0.4">
      <c r="A5796" s="4"/>
      <c r="B5796" s="4"/>
      <c r="D5796" s="4"/>
      <c r="E5796" s="4"/>
      <c r="F5796" s="4"/>
    </row>
    <row r="5797" spans="1:6" x14ac:dyDescent="0.4">
      <c r="A5797" s="4"/>
      <c r="B5797" s="4"/>
      <c r="D5797" s="4"/>
      <c r="E5797" s="4"/>
      <c r="F5797" s="4"/>
    </row>
    <row r="5798" spans="1:6" x14ac:dyDescent="0.4">
      <c r="A5798" s="4"/>
      <c r="B5798" s="4"/>
      <c r="D5798" s="4"/>
      <c r="E5798" s="4"/>
      <c r="F5798" s="4"/>
    </row>
    <row r="5799" spans="1:6" x14ac:dyDescent="0.4">
      <c r="A5799" s="4"/>
      <c r="B5799" s="4"/>
      <c r="D5799" s="4"/>
      <c r="E5799" s="4"/>
      <c r="F5799" s="4"/>
    </row>
    <row r="5800" spans="1:6" x14ac:dyDescent="0.4">
      <c r="A5800" s="4"/>
      <c r="B5800" s="4"/>
      <c r="D5800" s="4"/>
      <c r="E5800" s="4"/>
      <c r="F5800" s="4"/>
    </row>
    <row r="5801" spans="1:6" x14ac:dyDescent="0.4">
      <c r="A5801" s="4"/>
      <c r="B5801" s="4"/>
      <c r="D5801" s="4"/>
      <c r="E5801" s="4"/>
      <c r="F5801" s="4"/>
    </row>
    <row r="5802" spans="1:6" x14ac:dyDescent="0.4">
      <c r="A5802" s="4"/>
      <c r="B5802" s="4"/>
      <c r="D5802" s="4"/>
      <c r="E5802" s="4"/>
      <c r="F5802" s="4"/>
    </row>
    <row r="5803" spans="1:6" x14ac:dyDescent="0.4">
      <c r="A5803" s="4"/>
      <c r="B5803" s="4"/>
      <c r="D5803" s="4"/>
      <c r="E5803" s="4"/>
      <c r="F5803" s="4"/>
    </row>
    <row r="5804" spans="1:6" x14ac:dyDescent="0.4">
      <c r="A5804" s="4"/>
      <c r="B5804" s="4"/>
      <c r="D5804" s="4"/>
      <c r="E5804" s="4"/>
      <c r="F5804" s="4"/>
    </row>
    <row r="5805" spans="1:6" x14ac:dyDescent="0.4">
      <c r="A5805" s="4"/>
      <c r="B5805" s="4"/>
      <c r="D5805" s="4"/>
      <c r="E5805" s="4"/>
      <c r="F5805" s="4"/>
    </row>
    <row r="5806" spans="1:6" x14ac:dyDescent="0.4">
      <c r="A5806" s="4"/>
      <c r="B5806" s="4"/>
      <c r="D5806" s="4"/>
      <c r="E5806" s="4"/>
      <c r="F5806" s="4"/>
    </row>
    <row r="5807" spans="1:6" x14ac:dyDescent="0.4">
      <c r="A5807" s="4"/>
      <c r="B5807" s="4"/>
      <c r="D5807" s="4"/>
      <c r="E5807" s="4"/>
      <c r="F5807" s="4"/>
    </row>
    <row r="5808" spans="1:6" x14ac:dyDescent="0.4">
      <c r="A5808" s="4"/>
      <c r="B5808" s="4"/>
      <c r="D5808" s="4"/>
      <c r="E5808" s="4"/>
      <c r="F5808" s="4"/>
    </row>
    <row r="5809" spans="1:6" x14ac:dyDescent="0.4">
      <c r="A5809" s="4"/>
      <c r="B5809" s="4"/>
      <c r="D5809" s="4"/>
      <c r="E5809" s="4"/>
      <c r="F5809" s="4"/>
    </row>
    <row r="5810" spans="1:6" x14ac:dyDescent="0.4">
      <c r="A5810" s="4"/>
      <c r="B5810" s="4"/>
      <c r="D5810" s="4"/>
      <c r="E5810" s="4"/>
      <c r="F5810" s="4"/>
    </row>
    <row r="5811" spans="1:6" x14ac:dyDescent="0.4">
      <c r="A5811" s="4"/>
      <c r="B5811" s="4"/>
      <c r="D5811" s="4"/>
      <c r="E5811" s="4"/>
      <c r="F5811" s="4"/>
    </row>
    <row r="5812" spans="1:6" x14ac:dyDescent="0.4">
      <c r="A5812" s="4"/>
      <c r="B5812" s="4"/>
      <c r="D5812" s="4"/>
      <c r="E5812" s="4"/>
      <c r="F5812" s="4"/>
    </row>
    <row r="5813" spans="1:6" x14ac:dyDescent="0.4">
      <c r="A5813" s="4"/>
      <c r="B5813" s="4"/>
      <c r="D5813" s="4"/>
      <c r="E5813" s="4"/>
      <c r="F5813" s="4"/>
    </row>
    <row r="5814" spans="1:6" x14ac:dyDescent="0.4">
      <c r="A5814" s="4"/>
      <c r="B5814" s="4"/>
      <c r="D5814" s="4"/>
      <c r="E5814" s="4"/>
      <c r="F5814" s="4"/>
    </row>
    <row r="5815" spans="1:6" x14ac:dyDescent="0.4">
      <c r="A5815" s="4"/>
      <c r="B5815" s="4"/>
      <c r="D5815" s="4"/>
      <c r="E5815" s="4"/>
      <c r="F5815" s="4"/>
    </row>
    <row r="5816" spans="1:6" x14ac:dyDescent="0.4">
      <c r="A5816" s="4"/>
      <c r="B5816" s="4"/>
      <c r="D5816" s="4"/>
      <c r="E5816" s="4"/>
      <c r="F5816" s="4"/>
    </row>
    <row r="5817" spans="1:6" x14ac:dyDescent="0.4">
      <c r="A5817" s="4"/>
      <c r="B5817" s="4"/>
      <c r="D5817" s="4"/>
      <c r="E5817" s="4"/>
      <c r="F5817" s="4"/>
    </row>
    <row r="5818" spans="1:6" x14ac:dyDescent="0.4">
      <c r="A5818" s="4"/>
      <c r="B5818" s="4"/>
      <c r="D5818" s="4"/>
      <c r="E5818" s="4"/>
      <c r="F5818" s="4"/>
    </row>
    <row r="5819" spans="1:6" x14ac:dyDescent="0.4">
      <c r="A5819" s="4"/>
      <c r="B5819" s="4"/>
      <c r="D5819" s="4"/>
      <c r="E5819" s="4"/>
      <c r="F5819" s="4"/>
    </row>
    <row r="5820" spans="1:6" x14ac:dyDescent="0.4">
      <c r="A5820" s="4"/>
      <c r="B5820" s="4"/>
      <c r="D5820" s="4"/>
      <c r="E5820" s="4"/>
      <c r="F5820" s="4"/>
    </row>
    <row r="5821" spans="1:6" x14ac:dyDescent="0.4">
      <c r="A5821" s="4"/>
      <c r="B5821" s="4"/>
      <c r="D5821" s="4"/>
      <c r="E5821" s="4"/>
      <c r="F5821" s="4"/>
    </row>
    <row r="5822" spans="1:6" x14ac:dyDescent="0.4">
      <c r="A5822" s="4"/>
      <c r="B5822" s="4"/>
      <c r="D5822" s="4"/>
      <c r="E5822" s="4"/>
      <c r="F5822" s="4"/>
    </row>
    <row r="5823" spans="1:6" x14ac:dyDescent="0.4">
      <c r="A5823" s="4"/>
      <c r="B5823" s="4"/>
      <c r="D5823" s="4"/>
      <c r="E5823" s="4"/>
      <c r="F5823" s="4"/>
    </row>
    <row r="5824" spans="1:6" x14ac:dyDescent="0.4">
      <c r="A5824" s="4"/>
      <c r="B5824" s="4"/>
      <c r="D5824" s="4"/>
      <c r="E5824" s="4"/>
      <c r="F5824" s="4"/>
    </row>
    <row r="5825" spans="1:6" x14ac:dyDescent="0.4">
      <c r="A5825" s="4"/>
      <c r="B5825" s="4"/>
      <c r="D5825" s="4"/>
      <c r="E5825" s="4"/>
      <c r="F5825" s="4"/>
    </row>
    <row r="5826" spans="1:6" x14ac:dyDescent="0.4">
      <c r="A5826" s="4"/>
      <c r="B5826" s="4"/>
      <c r="D5826" s="4"/>
      <c r="E5826" s="4"/>
      <c r="F5826" s="4"/>
    </row>
    <row r="5827" spans="1:6" x14ac:dyDescent="0.4">
      <c r="A5827" s="4"/>
      <c r="B5827" s="4"/>
      <c r="D5827" s="4"/>
      <c r="E5827" s="4"/>
      <c r="F5827" s="4"/>
    </row>
    <row r="5828" spans="1:6" x14ac:dyDescent="0.4">
      <c r="A5828" s="4"/>
      <c r="B5828" s="4"/>
      <c r="D5828" s="4"/>
      <c r="E5828" s="4"/>
      <c r="F5828" s="4"/>
    </row>
    <row r="5829" spans="1:6" x14ac:dyDescent="0.4">
      <c r="A5829" s="4"/>
      <c r="B5829" s="4"/>
      <c r="D5829" s="4"/>
      <c r="E5829" s="4"/>
      <c r="F5829" s="4"/>
    </row>
    <row r="5830" spans="1:6" x14ac:dyDescent="0.4">
      <c r="A5830" s="4"/>
      <c r="B5830" s="4"/>
      <c r="D5830" s="4"/>
      <c r="E5830" s="4"/>
      <c r="F5830" s="4"/>
    </row>
    <row r="5831" spans="1:6" x14ac:dyDescent="0.4">
      <c r="A5831" s="4"/>
      <c r="B5831" s="4"/>
      <c r="D5831" s="4"/>
      <c r="E5831" s="4"/>
      <c r="F5831" s="4"/>
    </row>
    <row r="5832" spans="1:6" x14ac:dyDescent="0.4">
      <c r="A5832" s="4"/>
      <c r="B5832" s="4"/>
      <c r="D5832" s="4"/>
      <c r="E5832" s="4"/>
      <c r="F5832" s="4"/>
    </row>
    <row r="5833" spans="1:6" x14ac:dyDescent="0.4">
      <c r="A5833" s="4"/>
      <c r="B5833" s="4"/>
      <c r="D5833" s="4"/>
      <c r="E5833" s="4"/>
      <c r="F5833" s="4"/>
    </row>
    <row r="5834" spans="1:6" x14ac:dyDescent="0.4">
      <c r="A5834" s="4"/>
      <c r="B5834" s="4"/>
      <c r="D5834" s="4"/>
      <c r="E5834" s="4"/>
      <c r="F5834" s="4"/>
    </row>
    <row r="5835" spans="1:6" x14ac:dyDescent="0.4">
      <c r="A5835" s="4"/>
      <c r="B5835" s="4"/>
      <c r="D5835" s="4"/>
      <c r="E5835" s="4"/>
      <c r="F5835" s="4"/>
    </row>
    <row r="5836" spans="1:6" x14ac:dyDescent="0.4">
      <c r="A5836" s="4"/>
      <c r="B5836" s="4"/>
      <c r="D5836" s="4"/>
      <c r="E5836" s="4"/>
      <c r="F5836" s="4"/>
    </row>
    <row r="5837" spans="1:6" x14ac:dyDescent="0.4">
      <c r="A5837" s="4"/>
      <c r="B5837" s="4"/>
      <c r="D5837" s="4"/>
      <c r="E5837" s="4"/>
      <c r="F5837" s="4"/>
    </row>
    <row r="5838" spans="1:6" x14ac:dyDescent="0.4">
      <c r="A5838" s="4"/>
      <c r="B5838" s="4"/>
      <c r="D5838" s="4"/>
      <c r="E5838" s="4"/>
      <c r="F5838" s="4"/>
    </row>
    <row r="5839" spans="1:6" x14ac:dyDescent="0.4">
      <c r="A5839" s="4"/>
      <c r="B5839" s="4"/>
      <c r="D5839" s="4"/>
      <c r="E5839" s="4"/>
      <c r="F5839" s="4"/>
    </row>
    <row r="5840" spans="1:6" x14ac:dyDescent="0.4">
      <c r="A5840" s="4"/>
      <c r="B5840" s="4"/>
      <c r="D5840" s="4"/>
      <c r="E5840" s="4"/>
      <c r="F5840" s="4"/>
    </row>
    <row r="5841" spans="1:6" x14ac:dyDescent="0.4">
      <c r="A5841" s="4"/>
      <c r="B5841" s="4"/>
      <c r="D5841" s="4"/>
      <c r="E5841" s="4"/>
      <c r="F5841" s="4"/>
    </row>
    <row r="5842" spans="1:6" x14ac:dyDescent="0.4">
      <c r="A5842" s="4"/>
      <c r="B5842" s="4"/>
      <c r="D5842" s="4"/>
      <c r="E5842" s="4"/>
      <c r="F5842" s="4"/>
    </row>
    <row r="5843" spans="1:6" x14ac:dyDescent="0.4">
      <c r="A5843" s="4"/>
      <c r="B5843" s="4"/>
      <c r="D5843" s="4"/>
      <c r="E5843" s="4"/>
      <c r="F5843" s="4"/>
    </row>
    <row r="5844" spans="1:6" x14ac:dyDescent="0.4">
      <c r="A5844" s="4"/>
      <c r="B5844" s="4"/>
      <c r="D5844" s="4"/>
      <c r="E5844" s="4"/>
      <c r="F5844" s="4"/>
    </row>
    <row r="5845" spans="1:6" x14ac:dyDescent="0.4">
      <c r="A5845" s="4"/>
      <c r="B5845" s="4"/>
      <c r="D5845" s="4"/>
      <c r="E5845" s="4"/>
      <c r="F5845" s="4"/>
    </row>
    <row r="5846" spans="1:6" x14ac:dyDescent="0.4">
      <c r="A5846" s="4"/>
      <c r="B5846" s="4"/>
      <c r="D5846" s="4"/>
      <c r="E5846" s="4"/>
      <c r="F5846" s="4"/>
    </row>
    <row r="5847" spans="1:6" x14ac:dyDescent="0.4">
      <c r="A5847" s="4"/>
      <c r="B5847" s="4"/>
      <c r="D5847" s="4"/>
      <c r="E5847" s="4"/>
      <c r="F5847" s="4"/>
    </row>
    <row r="5848" spans="1:6" x14ac:dyDescent="0.4">
      <c r="A5848" s="4"/>
      <c r="B5848" s="4"/>
      <c r="D5848" s="4"/>
      <c r="E5848" s="4"/>
      <c r="F5848" s="4"/>
    </row>
    <row r="5849" spans="1:6" x14ac:dyDescent="0.4">
      <c r="A5849" s="4"/>
      <c r="B5849" s="4"/>
      <c r="D5849" s="4"/>
      <c r="E5849" s="4"/>
      <c r="F5849" s="4"/>
    </row>
    <row r="5850" spans="1:6" x14ac:dyDescent="0.4">
      <c r="A5850" s="4"/>
      <c r="B5850" s="4"/>
      <c r="D5850" s="4"/>
      <c r="E5850" s="4"/>
      <c r="F5850" s="4"/>
    </row>
    <row r="5851" spans="1:6" x14ac:dyDescent="0.4">
      <c r="A5851" s="4"/>
      <c r="B5851" s="4"/>
      <c r="D5851" s="4"/>
      <c r="E5851" s="4"/>
      <c r="F5851" s="4"/>
    </row>
    <row r="5852" spans="1:6" x14ac:dyDescent="0.4">
      <c r="A5852" s="4"/>
      <c r="B5852" s="4"/>
      <c r="D5852" s="4"/>
      <c r="E5852" s="4"/>
      <c r="F5852" s="4"/>
    </row>
    <row r="5853" spans="1:6" x14ac:dyDescent="0.4">
      <c r="A5853" s="4"/>
      <c r="B5853" s="4"/>
      <c r="D5853" s="4"/>
      <c r="E5853" s="4"/>
      <c r="F5853" s="4"/>
    </row>
    <row r="5854" spans="1:6" x14ac:dyDescent="0.4">
      <c r="A5854" s="4"/>
      <c r="B5854" s="4"/>
      <c r="D5854" s="4"/>
      <c r="E5854" s="4"/>
      <c r="F5854" s="4"/>
    </row>
    <row r="5855" spans="1:6" x14ac:dyDescent="0.4">
      <c r="A5855" s="4"/>
      <c r="B5855" s="4"/>
      <c r="D5855" s="4"/>
      <c r="E5855" s="4"/>
      <c r="F5855" s="4"/>
    </row>
    <row r="5856" spans="1:6" x14ac:dyDescent="0.4">
      <c r="A5856" s="4"/>
      <c r="B5856" s="4"/>
      <c r="D5856" s="4"/>
      <c r="E5856" s="4"/>
      <c r="F5856" s="4"/>
    </row>
    <row r="5857" spans="1:6" x14ac:dyDescent="0.4">
      <c r="A5857" s="4"/>
      <c r="B5857" s="4"/>
      <c r="D5857" s="4"/>
      <c r="E5857" s="4"/>
      <c r="F5857" s="4"/>
    </row>
    <row r="5858" spans="1:6" x14ac:dyDescent="0.4">
      <c r="A5858" s="4"/>
      <c r="B5858" s="4"/>
      <c r="D5858" s="4"/>
      <c r="E5858" s="4"/>
      <c r="F5858" s="4"/>
    </row>
    <row r="5859" spans="1:6" x14ac:dyDescent="0.4">
      <c r="A5859" s="4"/>
      <c r="B5859" s="4"/>
      <c r="D5859" s="4"/>
      <c r="E5859" s="4"/>
      <c r="F5859" s="4"/>
    </row>
    <row r="5860" spans="1:6" x14ac:dyDescent="0.4">
      <c r="A5860" s="4"/>
      <c r="B5860" s="4"/>
      <c r="D5860" s="4"/>
      <c r="E5860" s="4"/>
      <c r="F5860" s="4"/>
    </row>
    <row r="5861" spans="1:6" x14ac:dyDescent="0.4">
      <c r="A5861" s="4"/>
      <c r="B5861" s="4"/>
      <c r="D5861" s="4"/>
      <c r="E5861" s="4"/>
      <c r="F5861" s="4"/>
    </row>
    <row r="5862" spans="1:6" x14ac:dyDescent="0.4">
      <c r="A5862" s="4"/>
      <c r="B5862" s="4"/>
      <c r="D5862" s="4"/>
      <c r="E5862" s="4"/>
      <c r="F5862" s="4"/>
    </row>
    <row r="5863" spans="1:6" x14ac:dyDescent="0.4">
      <c r="A5863" s="4"/>
      <c r="B5863" s="4"/>
      <c r="D5863" s="4"/>
      <c r="E5863" s="4"/>
      <c r="F5863" s="4"/>
    </row>
    <row r="5864" spans="1:6" x14ac:dyDescent="0.4">
      <c r="A5864" s="4"/>
      <c r="B5864" s="4"/>
      <c r="D5864" s="4"/>
      <c r="E5864" s="4"/>
      <c r="F5864" s="4"/>
    </row>
    <row r="5865" spans="1:6" x14ac:dyDescent="0.4">
      <c r="A5865" s="4"/>
      <c r="B5865" s="4"/>
      <c r="D5865" s="4"/>
      <c r="E5865" s="4"/>
      <c r="F5865" s="4"/>
    </row>
    <row r="5866" spans="1:6" x14ac:dyDescent="0.4">
      <c r="A5866" s="4"/>
      <c r="B5866" s="4"/>
      <c r="D5866" s="4"/>
      <c r="E5866" s="4"/>
      <c r="F5866" s="4"/>
    </row>
    <row r="5867" spans="1:6" x14ac:dyDescent="0.4">
      <c r="A5867" s="4"/>
      <c r="B5867" s="4"/>
      <c r="D5867" s="4"/>
      <c r="E5867" s="4"/>
      <c r="F5867" s="4"/>
    </row>
    <row r="5868" spans="1:6" x14ac:dyDescent="0.4">
      <c r="A5868" s="4"/>
      <c r="B5868" s="4"/>
      <c r="D5868" s="4"/>
      <c r="E5868" s="4"/>
      <c r="F5868" s="4"/>
    </row>
    <row r="5869" spans="1:6" x14ac:dyDescent="0.4">
      <c r="A5869" s="4"/>
      <c r="B5869" s="4"/>
      <c r="D5869" s="4"/>
      <c r="E5869" s="4"/>
      <c r="F5869" s="4"/>
    </row>
    <row r="5870" spans="1:6" x14ac:dyDescent="0.4">
      <c r="A5870" s="4"/>
      <c r="B5870" s="4"/>
      <c r="D5870" s="4"/>
      <c r="E5870" s="4"/>
      <c r="F5870" s="4"/>
    </row>
    <row r="5871" spans="1:6" x14ac:dyDescent="0.4">
      <c r="A5871" s="4"/>
      <c r="B5871" s="4"/>
      <c r="D5871" s="4"/>
      <c r="E5871" s="4"/>
      <c r="F5871" s="4"/>
    </row>
    <row r="5872" spans="1:6" x14ac:dyDescent="0.4">
      <c r="A5872" s="4"/>
      <c r="B5872" s="4"/>
      <c r="D5872" s="4"/>
      <c r="E5872" s="4"/>
      <c r="F5872" s="4"/>
    </row>
    <row r="5873" spans="1:6" x14ac:dyDescent="0.4">
      <c r="A5873" s="4"/>
      <c r="B5873" s="4"/>
      <c r="D5873" s="4"/>
      <c r="E5873" s="4"/>
      <c r="F5873" s="4"/>
    </row>
    <row r="5874" spans="1:6" x14ac:dyDescent="0.4">
      <c r="A5874" s="4"/>
      <c r="B5874" s="4"/>
      <c r="D5874" s="4"/>
      <c r="E5874" s="4"/>
      <c r="F5874" s="4"/>
    </row>
    <row r="5875" spans="1:6" x14ac:dyDescent="0.4">
      <c r="A5875" s="4"/>
      <c r="B5875" s="4"/>
      <c r="D5875" s="4"/>
      <c r="E5875" s="4"/>
      <c r="F5875" s="4"/>
    </row>
    <row r="5876" spans="1:6" x14ac:dyDescent="0.4">
      <c r="A5876" s="4"/>
      <c r="B5876" s="4"/>
      <c r="D5876" s="4"/>
      <c r="E5876" s="4"/>
      <c r="F5876" s="4"/>
    </row>
    <row r="5877" spans="1:6" x14ac:dyDescent="0.4">
      <c r="A5877" s="4"/>
      <c r="B5877" s="4"/>
      <c r="D5877" s="4"/>
      <c r="E5877" s="4"/>
      <c r="F5877" s="4"/>
    </row>
    <row r="5878" spans="1:6" x14ac:dyDescent="0.4">
      <c r="A5878" s="4"/>
      <c r="B5878" s="4"/>
      <c r="D5878" s="4"/>
      <c r="E5878" s="4"/>
      <c r="F5878" s="4"/>
    </row>
    <row r="5879" spans="1:6" x14ac:dyDescent="0.4">
      <c r="A5879" s="4"/>
      <c r="B5879" s="4"/>
      <c r="D5879" s="4"/>
      <c r="E5879" s="4"/>
      <c r="F5879" s="4"/>
    </row>
    <row r="5880" spans="1:6" x14ac:dyDescent="0.4">
      <c r="A5880" s="4"/>
      <c r="B5880" s="4"/>
      <c r="D5880" s="4"/>
      <c r="E5880" s="4"/>
      <c r="F5880" s="4"/>
    </row>
    <row r="5881" spans="1:6" x14ac:dyDescent="0.4">
      <c r="A5881" s="4"/>
      <c r="B5881" s="4"/>
      <c r="D5881" s="4"/>
      <c r="E5881" s="4"/>
      <c r="F5881" s="4"/>
    </row>
    <row r="5882" spans="1:6" x14ac:dyDescent="0.4">
      <c r="A5882" s="4"/>
      <c r="B5882" s="4"/>
      <c r="D5882" s="4"/>
      <c r="E5882" s="4"/>
      <c r="F5882" s="4"/>
    </row>
    <row r="5883" spans="1:6" x14ac:dyDescent="0.4">
      <c r="A5883" s="4"/>
      <c r="B5883" s="4"/>
      <c r="D5883" s="4"/>
      <c r="E5883" s="4"/>
      <c r="F5883" s="4"/>
    </row>
    <row r="5884" spans="1:6" x14ac:dyDescent="0.4">
      <c r="A5884" s="4"/>
      <c r="B5884" s="4"/>
      <c r="D5884" s="4"/>
      <c r="E5884" s="4"/>
      <c r="F5884" s="4"/>
    </row>
    <row r="5885" spans="1:6" x14ac:dyDescent="0.4">
      <c r="A5885" s="4"/>
      <c r="B5885" s="4"/>
      <c r="D5885" s="4"/>
      <c r="E5885" s="4"/>
      <c r="F5885" s="4"/>
    </row>
    <row r="5886" spans="1:6" x14ac:dyDescent="0.4">
      <c r="A5886" s="4"/>
      <c r="B5886" s="4"/>
      <c r="D5886" s="4"/>
      <c r="E5886" s="4"/>
      <c r="F5886" s="4"/>
    </row>
    <row r="5887" spans="1:6" x14ac:dyDescent="0.4">
      <c r="A5887" s="4"/>
      <c r="B5887" s="4"/>
      <c r="D5887" s="4"/>
      <c r="E5887" s="4"/>
      <c r="F5887" s="4"/>
    </row>
    <row r="5888" spans="1:6" x14ac:dyDescent="0.4">
      <c r="A5888" s="4"/>
      <c r="B5888" s="4"/>
      <c r="D5888" s="4"/>
      <c r="E5888" s="4"/>
      <c r="F5888" s="4"/>
    </row>
    <row r="5889" spans="1:6" x14ac:dyDescent="0.4">
      <c r="A5889" s="4"/>
      <c r="B5889" s="4"/>
      <c r="D5889" s="4"/>
      <c r="E5889" s="4"/>
      <c r="F5889" s="4"/>
    </row>
    <row r="5890" spans="1:6" x14ac:dyDescent="0.4">
      <c r="A5890" s="4"/>
      <c r="B5890" s="4"/>
      <c r="D5890" s="4"/>
      <c r="E5890" s="4"/>
      <c r="F5890" s="4"/>
    </row>
    <row r="5891" spans="1:6" x14ac:dyDescent="0.4">
      <c r="A5891" s="4"/>
      <c r="B5891" s="4"/>
      <c r="D5891" s="4"/>
      <c r="E5891" s="4"/>
      <c r="F5891" s="4"/>
    </row>
    <row r="5892" spans="1:6" x14ac:dyDescent="0.4">
      <c r="A5892" s="4"/>
      <c r="B5892" s="4"/>
      <c r="D5892" s="4"/>
      <c r="E5892" s="4"/>
      <c r="F5892" s="4"/>
    </row>
    <row r="5893" spans="1:6" x14ac:dyDescent="0.4">
      <c r="A5893" s="4"/>
      <c r="B5893" s="4"/>
      <c r="D5893" s="4"/>
      <c r="E5893" s="4"/>
      <c r="F5893" s="4"/>
    </row>
    <row r="5894" spans="1:6" x14ac:dyDescent="0.4">
      <c r="A5894" s="4"/>
      <c r="B5894" s="4"/>
      <c r="D5894" s="4"/>
      <c r="E5894" s="4"/>
      <c r="F5894" s="4"/>
    </row>
    <row r="5895" spans="1:6" x14ac:dyDescent="0.4">
      <c r="A5895" s="4"/>
      <c r="B5895" s="4"/>
      <c r="D5895" s="4"/>
      <c r="E5895" s="4"/>
      <c r="F5895" s="4"/>
    </row>
    <row r="5896" spans="1:6" x14ac:dyDescent="0.4">
      <c r="A5896" s="4"/>
      <c r="B5896" s="4"/>
      <c r="D5896" s="4"/>
      <c r="E5896" s="4"/>
      <c r="F5896" s="4"/>
    </row>
    <row r="5897" spans="1:6" x14ac:dyDescent="0.4">
      <c r="A5897" s="4"/>
      <c r="B5897" s="4"/>
      <c r="D5897" s="4"/>
      <c r="E5897" s="4"/>
      <c r="F5897" s="4"/>
    </row>
    <row r="5898" spans="1:6" x14ac:dyDescent="0.4">
      <c r="A5898" s="4"/>
      <c r="B5898" s="4"/>
      <c r="D5898" s="4"/>
      <c r="E5898" s="4"/>
      <c r="F5898" s="4"/>
    </row>
    <row r="5899" spans="1:6" x14ac:dyDescent="0.4">
      <c r="A5899" s="4"/>
      <c r="B5899" s="4"/>
      <c r="D5899" s="4"/>
      <c r="E5899" s="4"/>
      <c r="F5899" s="4"/>
    </row>
    <row r="5900" spans="1:6" x14ac:dyDescent="0.4">
      <c r="A5900" s="4"/>
      <c r="B5900" s="4"/>
      <c r="D5900" s="4"/>
      <c r="E5900" s="4"/>
      <c r="F5900" s="4"/>
    </row>
    <row r="5901" spans="1:6" x14ac:dyDescent="0.4">
      <c r="A5901" s="4"/>
      <c r="B5901" s="4"/>
      <c r="D5901" s="4"/>
      <c r="E5901" s="4"/>
      <c r="F5901" s="4"/>
    </row>
    <row r="5902" spans="1:6" x14ac:dyDescent="0.4">
      <c r="A5902" s="4"/>
      <c r="B5902" s="4"/>
      <c r="D5902" s="4"/>
      <c r="E5902" s="4"/>
      <c r="F5902" s="4"/>
    </row>
    <row r="5903" spans="1:6" x14ac:dyDescent="0.4">
      <c r="A5903" s="4"/>
      <c r="B5903" s="4"/>
      <c r="D5903" s="4"/>
      <c r="E5903" s="4"/>
      <c r="F5903" s="4"/>
    </row>
    <row r="5904" spans="1:6" x14ac:dyDescent="0.4">
      <c r="A5904" s="4"/>
      <c r="B5904" s="4"/>
      <c r="D5904" s="4"/>
      <c r="E5904" s="4"/>
      <c r="F5904" s="4"/>
    </row>
    <row r="5905" spans="1:6" x14ac:dyDescent="0.4">
      <c r="A5905" s="4"/>
      <c r="B5905" s="4"/>
      <c r="D5905" s="4"/>
      <c r="E5905" s="4"/>
      <c r="F5905" s="4"/>
    </row>
    <row r="5906" spans="1:6" x14ac:dyDescent="0.4">
      <c r="A5906" s="4"/>
      <c r="B5906" s="4"/>
      <c r="D5906" s="4"/>
      <c r="E5906" s="4"/>
      <c r="F5906" s="4"/>
    </row>
    <row r="5907" spans="1:6" x14ac:dyDescent="0.4">
      <c r="A5907" s="4"/>
      <c r="B5907" s="4"/>
      <c r="D5907" s="4"/>
      <c r="E5907" s="4"/>
      <c r="F5907" s="4"/>
    </row>
    <row r="5908" spans="1:6" x14ac:dyDescent="0.4">
      <c r="A5908" s="4"/>
      <c r="B5908" s="4"/>
      <c r="D5908" s="4"/>
      <c r="E5908" s="4"/>
      <c r="F5908" s="4"/>
    </row>
    <row r="5909" spans="1:6" x14ac:dyDescent="0.4">
      <c r="A5909" s="4"/>
      <c r="B5909" s="4"/>
      <c r="D5909" s="4"/>
      <c r="E5909" s="4"/>
      <c r="F5909" s="4"/>
    </row>
    <row r="5910" spans="1:6" x14ac:dyDescent="0.4">
      <c r="A5910" s="4"/>
      <c r="B5910" s="4"/>
      <c r="D5910" s="4"/>
      <c r="E5910" s="4"/>
      <c r="F5910" s="4"/>
    </row>
    <row r="5911" spans="1:6" x14ac:dyDescent="0.4">
      <c r="A5911" s="4"/>
      <c r="B5911" s="4"/>
      <c r="D5911" s="4"/>
      <c r="E5911" s="4"/>
      <c r="F5911" s="4"/>
    </row>
    <row r="5912" spans="1:6" x14ac:dyDescent="0.4">
      <c r="A5912" s="4"/>
      <c r="B5912" s="4"/>
      <c r="D5912" s="4"/>
      <c r="E5912" s="4"/>
      <c r="F5912" s="4"/>
    </row>
    <row r="5913" spans="1:6" x14ac:dyDescent="0.4">
      <c r="A5913" s="4"/>
      <c r="B5913" s="4"/>
      <c r="D5913" s="4"/>
      <c r="E5913" s="4"/>
      <c r="F5913" s="4"/>
    </row>
    <row r="5914" spans="1:6" x14ac:dyDescent="0.4">
      <c r="A5914" s="4"/>
      <c r="B5914" s="4"/>
      <c r="D5914" s="4"/>
      <c r="E5914" s="4"/>
      <c r="F5914" s="4"/>
    </row>
    <row r="5915" spans="1:6" x14ac:dyDescent="0.4">
      <c r="A5915" s="4"/>
      <c r="B5915" s="4"/>
      <c r="D5915" s="4"/>
      <c r="E5915" s="4"/>
      <c r="F5915" s="4"/>
    </row>
    <row r="5916" spans="1:6" x14ac:dyDescent="0.4">
      <c r="A5916" s="4"/>
      <c r="B5916" s="4"/>
      <c r="D5916" s="4"/>
      <c r="E5916" s="4"/>
      <c r="F5916" s="4"/>
    </row>
    <row r="5917" spans="1:6" x14ac:dyDescent="0.4">
      <c r="A5917" s="4"/>
      <c r="B5917" s="4"/>
      <c r="D5917" s="4"/>
      <c r="E5917" s="4"/>
      <c r="F5917" s="4"/>
    </row>
    <row r="5918" spans="1:6" x14ac:dyDescent="0.4">
      <c r="A5918" s="4"/>
      <c r="B5918" s="4"/>
      <c r="D5918" s="4"/>
      <c r="E5918" s="4"/>
      <c r="F5918" s="4"/>
    </row>
    <row r="5919" spans="1:6" x14ac:dyDescent="0.4">
      <c r="A5919" s="4"/>
      <c r="B5919" s="4"/>
      <c r="D5919" s="4"/>
      <c r="E5919" s="4"/>
      <c r="F5919" s="4"/>
    </row>
    <row r="5920" spans="1:6" x14ac:dyDescent="0.4">
      <c r="A5920" s="4"/>
      <c r="B5920" s="4"/>
      <c r="D5920" s="4"/>
      <c r="E5920" s="4"/>
      <c r="F5920" s="4"/>
    </row>
    <row r="5921" spans="1:6" x14ac:dyDescent="0.4">
      <c r="A5921" s="4"/>
      <c r="B5921" s="4"/>
      <c r="D5921" s="4"/>
      <c r="E5921" s="4"/>
      <c r="F5921" s="4"/>
    </row>
    <row r="5922" spans="1:6" x14ac:dyDescent="0.4">
      <c r="A5922" s="4"/>
      <c r="B5922" s="4"/>
      <c r="D5922" s="4"/>
      <c r="E5922" s="4"/>
      <c r="F5922" s="4"/>
    </row>
    <row r="5923" spans="1:6" x14ac:dyDescent="0.4">
      <c r="A5923" s="4"/>
      <c r="B5923" s="4"/>
      <c r="D5923" s="4"/>
      <c r="E5923" s="4"/>
      <c r="F5923" s="4"/>
    </row>
    <row r="5924" spans="1:6" x14ac:dyDescent="0.4">
      <c r="A5924" s="4"/>
      <c r="B5924" s="4"/>
      <c r="D5924" s="4"/>
      <c r="E5924" s="4"/>
      <c r="F5924" s="4"/>
    </row>
    <row r="5925" spans="1:6" x14ac:dyDescent="0.4">
      <c r="A5925" s="4"/>
      <c r="B5925" s="4"/>
      <c r="D5925" s="4"/>
      <c r="E5925" s="4"/>
      <c r="F5925" s="4"/>
    </row>
    <row r="5926" spans="1:6" x14ac:dyDescent="0.4">
      <c r="A5926" s="4"/>
      <c r="B5926" s="4"/>
      <c r="D5926" s="4"/>
      <c r="E5926" s="4"/>
      <c r="F5926" s="4"/>
    </row>
    <row r="5927" spans="1:6" x14ac:dyDescent="0.4">
      <c r="A5927" s="4"/>
      <c r="B5927" s="4"/>
      <c r="D5927" s="4"/>
      <c r="E5927" s="4"/>
      <c r="F5927" s="4"/>
    </row>
    <row r="5928" spans="1:6" x14ac:dyDescent="0.4">
      <c r="A5928" s="4"/>
      <c r="B5928" s="4"/>
      <c r="D5928" s="4"/>
      <c r="E5928" s="4"/>
      <c r="F5928" s="4"/>
    </row>
    <row r="5929" spans="1:6" x14ac:dyDescent="0.4">
      <c r="A5929" s="4"/>
      <c r="B5929" s="4"/>
      <c r="D5929" s="4"/>
      <c r="E5929" s="4"/>
      <c r="F5929" s="4"/>
    </row>
    <row r="5930" spans="1:6" x14ac:dyDescent="0.4">
      <c r="A5930" s="4"/>
      <c r="B5930" s="4"/>
      <c r="D5930" s="4"/>
      <c r="E5930" s="4"/>
      <c r="F5930" s="4"/>
    </row>
    <row r="5931" spans="1:6" x14ac:dyDescent="0.4">
      <c r="A5931" s="4"/>
      <c r="B5931" s="4"/>
      <c r="D5931" s="4"/>
      <c r="E5931" s="4"/>
      <c r="F5931" s="4"/>
    </row>
    <row r="5932" spans="1:6" x14ac:dyDescent="0.4">
      <c r="A5932" s="4"/>
      <c r="B5932" s="4"/>
      <c r="D5932" s="4"/>
      <c r="E5932" s="4"/>
      <c r="F5932" s="4"/>
    </row>
    <row r="5933" spans="1:6" x14ac:dyDescent="0.4">
      <c r="A5933" s="4"/>
      <c r="B5933" s="4"/>
      <c r="D5933" s="4"/>
      <c r="E5933" s="4"/>
      <c r="F5933" s="4"/>
    </row>
    <row r="5934" spans="1:6" x14ac:dyDescent="0.4">
      <c r="A5934" s="4"/>
      <c r="B5934" s="4"/>
      <c r="D5934" s="4"/>
      <c r="E5934" s="4"/>
      <c r="F5934" s="4"/>
    </row>
    <row r="5935" spans="1:6" x14ac:dyDescent="0.4">
      <c r="A5935" s="4"/>
      <c r="B5935" s="4"/>
      <c r="D5935" s="4"/>
      <c r="E5935" s="4"/>
      <c r="F5935" s="4"/>
    </row>
    <row r="5936" spans="1:6" x14ac:dyDescent="0.4">
      <c r="A5936" s="4"/>
      <c r="B5936" s="4"/>
      <c r="D5936" s="4"/>
      <c r="E5936" s="4"/>
      <c r="F5936" s="4"/>
    </row>
    <row r="5937" spans="1:6" x14ac:dyDescent="0.4">
      <c r="A5937" s="4"/>
      <c r="B5937" s="4"/>
      <c r="D5937" s="4"/>
      <c r="E5937" s="4"/>
      <c r="F5937" s="4"/>
    </row>
    <row r="5938" spans="1:6" x14ac:dyDescent="0.4">
      <c r="A5938" s="4"/>
      <c r="B5938" s="4"/>
      <c r="D5938" s="4"/>
      <c r="E5938" s="4"/>
      <c r="F5938" s="4"/>
    </row>
    <row r="5939" spans="1:6" x14ac:dyDescent="0.4">
      <c r="A5939" s="4"/>
      <c r="B5939" s="4"/>
      <c r="D5939" s="4"/>
      <c r="E5939" s="4"/>
      <c r="F5939" s="4"/>
    </row>
    <row r="5940" spans="1:6" x14ac:dyDescent="0.4">
      <c r="A5940" s="4"/>
      <c r="B5940" s="4"/>
      <c r="D5940" s="4"/>
      <c r="E5940" s="4"/>
      <c r="F5940" s="4"/>
    </row>
    <row r="5941" spans="1:6" x14ac:dyDescent="0.4">
      <c r="A5941" s="4"/>
      <c r="B5941" s="4"/>
      <c r="D5941" s="4"/>
      <c r="E5941" s="4"/>
      <c r="F5941" s="4"/>
    </row>
    <row r="5942" spans="1:6" x14ac:dyDescent="0.4">
      <c r="A5942" s="4"/>
      <c r="B5942" s="4"/>
      <c r="D5942" s="4"/>
      <c r="E5942" s="4"/>
      <c r="F5942" s="4"/>
    </row>
    <row r="5943" spans="1:6" x14ac:dyDescent="0.4">
      <c r="A5943" s="4"/>
      <c r="B5943" s="4"/>
      <c r="D5943" s="4"/>
      <c r="E5943" s="4"/>
      <c r="F5943" s="4"/>
    </row>
    <row r="5944" spans="1:6" x14ac:dyDescent="0.4">
      <c r="A5944" s="4"/>
      <c r="B5944" s="4"/>
      <c r="D5944" s="4"/>
      <c r="E5944" s="4"/>
      <c r="F5944" s="4"/>
    </row>
    <row r="5945" spans="1:6" x14ac:dyDescent="0.4">
      <c r="A5945" s="4"/>
      <c r="B5945" s="4"/>
      <c r="D5945" s="4"/>
      <c r="E5945" s="4"/>
      <c r="F5945" s="4"/>
    </row>
    <row r="5946" spans="1:6" x14ac:dyDescent="0.4">
      <c r="A5946" s="4"/>
      <c r="B5946" s="4"/>
      <c r="D5946" s="4"/>
      <c r="E5946" s="4"/>
      <c r="F5946" s="4"/>
    </row>
    <row r="5947" spans="1:6" x14ac:dyDescent="0.4">
      <c r="A5947" s="4"/>
      <c r="B5947" s="4"/>
      <c r="D5947" s="4"/>
      <c r="E5947" s="4"/>
      <c r="F5947" s="4"/>
    </row>
    <row r="5948" spans="1:6" x14ac:dyDescent="0.4">
      <c r="A5948" s="4"/>
      <c r="B5948" s="4"/>
      <c r="D5948" s="4"/>
      <c r="E5948" s="4"/>
      <c r="F5948" s="4"/>
    </row>
    <row r="5949" spans="1:6" x14ac:dyDescent="0.4">
      <c r="A5949" s="4"/>
      <c r="B5949" s="4"/>
      <c r="D5949" s="4"/>
      <c r="E5949" s="4"/>
      <c r="F5949" s="4"/>
    </row>
    <row r="5950" spans="1:6" x14ac:dyDescent="0.4">
      <c r="A5950" s="4"/>
      <c r="B5950" s="4"/>
      <c r="D5950" s="4"/>
      <c r="E5950" s="4"/>
      <c r="F5950" s="4"/>
    </row>
    <row r="5951" spans="1:6" x14ac:dyDescent="0.4">
      <c r="A5951" s="4"/>
      <c r="B5951" s="4"/>
      <c r="D5951" s="4"/>
      <c r="E5951" s="4"/>
      <c r="F5951" s="4"/>
    </row>
    <row r="5952" spans="1:6" x14ac:dyDescent="0.4">
      <c r="A5952" s="4"/>
      <c r="B5952" s="4"/>
      <c r="D5952" s="4"/>
      <c r="E5952" s="4"/>
      <c r="F5952" s="4"/>
    </row>
    <row r="5953" spans="1:6" x14ac:dyDescent="0.4">
      <c r="A5953" s="4"/>
      <c r="B5953" s="4"/>
      <c r="D5953" s="4"/>
      <c r="E5953" s="4"/>
      <c r="F5953" s="4"/>
    </row>
    <row r="5954" spans="1:6" x14ac:dyDescent="0.4">
      <c r="A5954" s="4"/>
      <c r="B5954" s="4"/>
      <c r="D5954" s="4"/>
      <c r="E5954" s="4"/>
      <c r="F5954" s="4"/>
    </row>
    <row r="5955" spans="1:6" x14ac:dyDescent="0.4">
      <c r="A5955" s="4"/>
      <c r="B5955" s="4"/>
      <c r="D5955" s="4"/>
      <c r="E5955" s="4"/>
      <c r="F5955" s="4"/>
    </row>
    <row r="5956" spans="1:6" x14ac:dyDescent="0.4">
      <c r="A5956" s="4"/>
      <c r="B5956" s="4"/>
      <c r="D5956" s="4"/>
      <c r="E5956" s="4"/>
      <c r="F5956" s="4"/>
    </row>
    <row r="5957" spans="1:6" x14ac:dyDescent="0.4">
      <c r="A5957" s="4"/>
      <c r="B5957" s="4"/>
      <c r="D5957" s="4"/>
      <c r="E5957" s="4"/>
      <c r="F5957" s="4"/>
    </row>
    <row r="5958" spans="1:6" x14ac:dyDescent="0.4">
      <c r="A5958" s="4"/>
      <c r="B5958" s="4"/>
      <c r="D5958" s="4"/>
      <c r="E5958" s="4"/>
      <c r="F5958" s="4"/>
    </row>
    <row r="5959" spans="1:6" x14ac:dyDescent="0.4">
      <c r="A5959" s="4"/>
      <c r="B5959" s="4"/>
      <c r="D5959" s="4"/>
      <c r="E5959" s="4"/>
      <c r="F5959" s="4"/>
    </row>
    <row r="5960" spans="1:6" x14ac:dyDescent="0.4">
      <c r="A5960" s="4"/>
      <c r="B5960" s="4"/>
      <c r="D5960" s="4"/>
      <c r="E5960" s="4"/>
      <c r="F5960" s="4"/>
    </row>
    <row r="5961" spans="1:6" x14ac:dyDescent="0.4">
      <c r="A5961" s="4"/>
      <c r="B5961" s="4"/>
      <c r="D5961" s="4"/>
      <c r="E5961" s="4"/>
      <c r="F5961" s="4"/>
    </row>
    <row r="5962" spans="1:6" x14ac:dyDescent="0.4">
      <c r="A5962" s="4"/>
      <c r="B5962" s="4"/>
      <c r="D5962" s="4"/>
      <c r="E5962" s="4"/>
      <c r="F5962" s="4"/>
    </row>
    <row r="5963" spans="1:6" x14ac:dyDescent="0.4">
      <c r="A5963" s="4"/>
      <c r="B5963" s="4"/>
      <c r="D5963" s="4"/>
      <c r="E5963" s="4"/>
      <c r="F5963" s="4"/>
    </row>
    <row r="5964" spans="1:6" x14ac:dyDescent="0.4">
      <c r="A5964" s="4"/>
      <c r="B5964" s="4"/>
      <c r="D5964" s="4"/>
      <c r="E5964" s="4"/>
      <c r="F5964" s="4"/>
    </row>
    <row r="5965" spans="1:6" x14ac:dyDescent="0.4">
      <c r="A5965" s="4"/>
      <c r="B5965" s="4"/>
      <c r="D5965" s="4"/>
      <c r="E5965" s="4"/>
      <c r="F5965" s="4"/>
    </row>
    <row r="5966" spans="1:6" x14ac:dyDescent="0.4">
      <c r="A5966" s="4"/>
      <c r="B5966" s="4"/>
      <c r="D5966" s="4"/>
      <c r="E5966" s="4"/>
      <c r="F5966" s="4"/>
    </row>
    <row r="5967" spans="1:6" x14ac:dyDescent="0.4">
      <c r="A5967" s="4"/>
      <c r="B5967" s="4"/>
      <c r="D5967" s="4"/>
      <c r="E5967" s="4"/>
      <c r="F5967" s="4"/>
    </row>
    <row r="5968" spans="1:6" x14ac:dyDescent="0.4">
      <c r="A5968" s="4"/>
      <c r="B5968" s="4"/>
      <c r="D5968" s="4"/>
      <c r="E5968" s="4"/>
      <c r="F5968" s="4"/>
    </row>
    <row r="5969" spans="1:6" x14ac:dyDescent="0.4">
      <c r="A5969" s="4"/>
      <c r="B5969" s="4"/>
      <c r="D5969" s="4"/>
      <c r="E5969" s="4"/>
      <c r="F5969" s="4"/>
    </row>
    <row r="5970" spans="1:6" x14ac:dyDescent="0.4">
      <c r="A5970" s="4"/>
      <c r="B5970" s="4"/>
      <c r="D5970" s="4"/>
      <c r="E5970" s="4"/>
      <c r="F5970" s="4"/>
    </row>
    <row r="5971" spans="1:6" x14ac:dyDescent="0.4">
      <c r="A5971" s="4"/>
      <c r="B5971" s="4"/>
      <c r="D5971" s="4"/>
      <c r="E5971" s="4"/>
      <c r="F5971" s="4"/>
    </row>
    <row r="5972" spans="1:6" x14ac:dyDescent="0.4">
      <c r="A5972" s="4"/>
      <c r="B5972" s="4"/>
      <c r="D5972" s="4"/>
      <c r="E5972" s="4"/>
      <c r="F5972" s="4"/>
    </row>
    <row r="5973" spans="1:6" x14ac:dyDescent="0.4">
      <c r="A5973" s="4"/>
      <c r="B5973" s="4"/>
      <c r="D5973" s="4"/>
      <c r="E5973" s="4"/>
      <c r="F5973" s="4"/>
    </row>
    <row r="5974" spans="1:6" x14ac:dyDescent="0.4">
      <c r="A5974" s="4"/>
      <c r="B5974" s="4"/>
      <c r="D5974" s="4"/>
      <c r="E5974" s="4"/>
      <c r="F5974" s="4"/>
    </row>
    <row r="5975" spans="1:6" x14ac:dyDescent="0.4">
      <c r="A5975" s="4"/>
      <c r="B5975" s="4"/>
      <c r="D5975" s="4"/>
      <c r="E5975" s="4"/>
      <c r="F5975" s="4"/>
    </row>
    <row r="5976" spans="1:6" x14ac:dyDescent="0.4">
      <c r="A5976" s="4"/>
      <c r="B5976" s="4"/>
      <c r="D5976" s="4"/>
      <c r="E5976" s="4"/>
      <c r="F5976" s="4"/>
    </row>
    <row r="5977" spans="1:6" x14ac:dyDescent="0.4">
      <c r="A5977" s="4"/>
      <c r="B5977" s="4"/>
      <c r="D5977" s="4"/>
      <c r="E5977" s="4"/>
      <c r="F5977" s="4"/>
    </row>
    <row r="5978" spans="1:6" x14ac:dyDescent="0.4">
      <c r="A5978" s="4"/>
      <c r="B5978" s="4"/>
      <c r="D5978" s="4"/>
      <c r="E5978" s="4"/>
      <c r="F5978" s="4"/>
    </row>
    <row r="5979" spans="1:6" x14ac:dyDescent="0.4">
      <c r="A5979" s="4"/>
      <c r="B5979" s="4"/>
      <c r="D5979" s="4"/>
      <c r="E5979" s="4"/>
      <c r="F5979" s="4"/>
    </row>
    <row r="5980" spans="1:6" x14ac:dyDescent="0.4">
      <c r="A5980" s="4"/>
      <c r="B5980" s="4"/>
      <c r="D5980" s="4"/>
      <c r="E5980" s="4"/>
      <c r="F5980" s="4"/>
    </row>
    <row r="5981" spans="1:6" x14ac:dyDescent="0.4">
      <c r="A5981" s="4"/>
      <c r="B5981" s="4"/>
      <c r="D5981" s="4"/>
      <c r="E5981" s="4"/>
      <c r="F5981" s="4"/>
    </row>
    <row r="5982" spans="1:6" x14ac:dyDescent="0.4">
      <c r="A5982" s="4"/>
      <c r="B5982" s="4"/>
      <c r="D5982" s="4"/>
      <c r="E5982" s="4"/>
      <c r="F5982" s="4"/>
    </row>
    <row r="5983" spans="1:6" x14ac:dyDescent="0.4">
      <c r="A5983" s="4"/>
      <c r="B5983" s="4"/>
      <c r="D5983" s="4"/>
      <c r="E5983" s="4"/>
      <c r="F5983" s="4"/>
    </row>
    <row r="5984" spans="1:6" x14ac:dyDescent="0.4">
      <c r="A5984" s="4"/>
      <c r="B5984" s="4"/>
      <c r="D5984" s="4"/>
      <c r="E5984" s="4"/>
      <c r="F5984" s="4"/>
    </row>
    <row r="5985" spans="1:6" x14ac:dyDescent="0.4">
      <c r="A5985" s="4"/>
      <c r="B5985" s="4"/>
      <c r="D5985" s="4"/>
      <c r="E5985" s="4"/>
      <c r="F5985" s="4"/>
    </row>
    <row r="5986" spans="1:6" x14ac:dyDescent="0.4">
      <c r="A5986" s="4"/>
      <c r="B5986" s="4"/>
      <c r="D5986" s="4"/>
      <c r="E5986" s="4"/>
      <c r="F5986" s="4"/>
    </row>
    <row r="5987" spans="1:6" x14ac:dyDescent="0.4">
      <c r="A5987" s="4"/>
      <c r="B5987" s="4"/>
      <c r="D5987" s="4"/>
      <c r="E5987" s="4"/>
      <c r="F5987" s="4"/>
    </row>
    <row r="5988" spans="1:6" x14ac:dyDescent="0.4">
      <c r="A5988" s="4"/>
      <c r="B5988" s="4"/>
      <c r="D5988" s="4"/>
      <c r="E5988" s="4"/>
      <c r="F5988" s="4"/>
    </row>
    <row r="5989" spans="1:6" x14ac:dyDescent="0.4">
      <c r="A5989" s="4"/>
      <c r="B5989" s="4"/>
      <c r="D5989" s="4"/>
      <c r="E5989" s="4"/>
      <c r="F5989" s="4"/>
    </row>
    <row r="5990" spans="1:6" x14ac:dyDescent="0.4">
      <c r="A5990" s="4"/>
      <c r="B5990" s="4"/>
      <c r="D5990" s="4"/>
      <c r="E5990" s="4"/>
      <c r="F5990" s="4"/>
    </row>
    <row r="5991" spans="1:6" x14ac:dyDescent="0.4">
      <c r="A5991" s="4"/>
      <c r="B5991" s="4"/>
      <c r="D5991" s="4"/>
      <c r="E5991" s="4"/>
      <c r="F5991" s="4"/>
    </row>
    <row r="5992" spans="1:6" x14ac:dyDescent="0.4">
      <c r="A5992" s="4"/>
      <c r="B5992" s="4"/>
      <c r="D5992" s="4"/>
      <c r="E5992" s="4"/>
      <c r="F5992" s="4"/>
    </row>
    <row r="5993" spans="1:6" x14ac:dyDescent="0.4">
      <c r="A5993" s="4"/>
      <c r="B5993" s="4"/>
      <c r="D5993" s="4"/>
      <c r="E5993" s="4"/>
      <c r="F5993" s="4"/>
    </row>
    <row r="5994" spans="1:6" x14ac:dyDescent="0.4">
      <c r="A5994" s="4"/>
      <c r="B5994" s="4"/>
      <c r="D5994" s="4"/>
      <c r="E5994" s="4"/>
      <c r="F5994" s="4"/>
    </row>
    <row r="5995" spans="1:6" x14ac:dyDescent="0.4">
      <c r="A5995" s="4"/>
      <c r="B5995" s="4"/>
      <c r="D5995" s="4"/>
      <c r="E5995" s="4"/>
      <c r="F5995" s="4"/>
    </row>
    <row r="5996" spans="1:6" x14ac:dyDescent="0.4">
      <c r="A5996" s="4"/>
      <c r="B5996" s="4"/>
      <c r="D5996" s="4"/>
      <c r="E5996" s="4"/>
      <c r="F5996" s="4"/>
    </row>
    <row r="5997" spans="1:6" x14ac:dyDescent="0.4">
      <c r="A5997" s="4"/>
      <c r="B5997" s="4"/>
      <c r="D5997" s="4"/>
      <c r="E5997" s="4"/>
      <c r="F5997" s="4"/>
    </row>
    <row r="5998" spans="1:6" x14ac:dyDescent="0.4">
      <c r="A5998" s="4"/>
      <c r="B5998" s="4"/>
      <c r="D5998" s="4"/>
      <c r="E5998" s="4"/>
      <c r="F5998" s="4"/>
    </row>
    <row r="5999" spans="1:6" x14ac:dyDescent="0.4">
      <c r="A5999" s="4"/>
      <c r="B5999" s="4"/>
      <c r="D5999" s="4"/>
      <c r="E5999" s="4"/>
      <c r="F5999" s="4"/>
    </row>
    <row r="6000" spans="1:6" x14ac:dyDescent="0.4">
      <c r="A6000" s="4"/>
      <c r="B6000" s="4"/>
      <c r="D6000" s="4"/>
      <c r="E6000" s="4"/>
      <c r="F6000" s="4"/>
    </row>
    <row r="6001" spans="1:6" x14ac:dyDescent="0.4">
      <c r="A6001" s="4"/>
      <c r="B6001" s="4"/>
      <c r="D6001" s="4"/>
      <c r="E6001" s="4"/>
      <c r="F6001" s="4"/>
    </row>
    <row r="6002" spans="1:6" x14ac:dyDescent="0.4">
      <c r="A6002" s="4"/>
      <c r="B6002" s="4"/>
      <c r="D6002" s="4"/>
      <c r="E6002" s="4"/>
      <c r="F6002" s="4"/>
    </row>
    <row r="6003" spans="1:6" x14ac:dyDescent="0.4">
      <c r="A6003" s="4"/>
      <c r="B6003" s="4"/>
      <c r="D6003" s="4"/>
      <c r="E6003" s="4"/>
      <c r="F6003" s="4"/>
    </row>
    <row r="6004" spans="1:6" x14ac:dyDescent="0.4">
      <c r="A6004" s="4"/>
      <c r="B6004" s="4"/>
      <c r="D6004" s="4"/>
      <c r="E6004" s="4"/>
      <c r="F6004" s="4"/>
    </row>
    <row r="6005" spans="1:6" x14ac:dyDescent="0.4">
      <c r="A6005" s="4"/>
      <c r="B6005" s="4"/>
      <c r="D6005" s="4"/>
      <c r="E6005" s="4"/>
      <c r="F6005" s="4"/>
    </row>
    <row r="6006" spans="1:6" x14ac:dyDescent="0.4">
      <c r="A6006" s="4"/>
      <c r="B6006" s="4"/>
      <c r="D6006" s="4"/>
      <c r="E6006" s="4"/>
      <c r="F6006" s="4"/>
    </row>
    <row r="6007" spans="1:6" x14ac:dyDescent="0.4">
      <c r="A6007" s="4"/>
      <c r="B6007" s="4"/>
      <c r="D6007" s="4"/>
      <c r="E6007" s="4"/>
      <c r="F6007" s="4"/>
    </row>
    <row r="6008" spans="1:6" x14ac:dyDescent="0.4">
      <c r="A6008" s="4"/>
      <c r="B6008" s="4"/>
      <c r="D6008" s="4"/>
      <c r="E6008" s="4"/>
      <c r="F6008" s="4"/>
    </row>
    <row r="6009" spans="1:6" x14ac:dyDescent="0.4">
      <c r="A6009" s="4"/>
      <c r="B6009" s="4"/>
      <c r="D6009" s="4"/>
      <c r="E6009" s="4"/>
      <c r="F6009" s="4"/>
    </row>
    <row r="6010" spans="1:6" x14ac:dyDescent="0.4">
      <c r="A6010" s="4"/>
      <c r="B6010" s="4"/>
      <c r="D6010" s="4"/>
      <c r="E6010" s="4"/>
      <c r="F6010" s="4"/>
    </row>
    <row r="6011" spans="1:6" x14ac:dyDescent="0.4">
      <c r="A6011" s="4"/>
      <c r="B6011" s="4"/>
      <c r="D6011" s="4"/>
      <c r="E6011" s="4"/>
      <c r="F6011" s="4"/>
    </row>
    <row r="6012" spans="1:6" x14ac:dyDescent="0.4">
      <c r="A6012" s="4"/>
      <c r="B6012" s="4"/>
      <c r="D6012" s="4"/>
      <c r="E6012" s="4"/>
      <c r="F6012" s="4"/>
    </row>
    <row r="6013" spans="1:6" x14ac:dyDescent="0.4">
      <c r="A6013" s="4"/>
      <c r="B6013" s="4"/>
      <c r="D6013" s="4"/>
      <c r="E6013" s="4"/>
      <c r="F6013" s="4"/>
    </row>
    <row r="6014" spans="1:6" x14ac:dyDescent="0.4">
      <c r="A6014" s="4"/>
      <c r="B6014" s="4"/>
      <c r="D6014" s="4"/>
      <c r="E6014" s="4"/>
      <c r="F6014" s="4"/>
    </row>
    <row r="6015" spans="1:6" x14ac:dyDescent="0.4">
      <c r="A6015" s="4"/>
      <c r="B6015" s="4"/>
      <c r="D6015" s="4"/>
      <c r="E6015" s="4"/>
      <c r="F6015" s="4"/>
    </row>
    <row r="6016" spans="1:6" x14ac:dyDescent="0.4">
      <c r="A6016" s="4"/>
      <c r="B6016" s="4"/>
      <c r="D6016" s="4"/>
      <c r="E6016" s="4"/>
      <c r="F6016" s="4"/>
    </row>
    <row r="6017" spans="1:6" x14ac:dyDescent="0.4">
      <c r="A6017" s="4"/>
      <c r="B6017" s="4"/>
      <c r="D6017" s="4"/>
      <c r="E6017" s="4"/>
      <c r="F6017" s="4"/>
    </row>
    <row r="6018" spans="1:6" x14ac:dyDescent="0.4">
      <c r="A6018" s="4"/>
      <c r="B6018" s="4"/>
      <c r="D6018" s="4"/>
      <c r="E6018" s="4"/>
      <c r="F6018" s="4"/>
    </row>
    <row r="6019" spans="1:6" x14ac:dyDescent="0.4">
      <c r="A6019" s="4"/>
      <c r="B6019" s="4"/>
      <c r="D6019" s="4"/>
      <c r="E6019" s="4"/>
      <c r="F6019" s="4"/>
    </row>
    <row r="6020" spans="1:6" x14ac:dyDescent="0.4">
      <c r="A6020" s="4"/>
      <c r="B6020" s="4"/>
      <c r="D6020" s="4"/>
      <c r="E6020" s="4"/>
      <c r="F6020" s="4"/>
    </row>
    <row r="6021" spans="1:6" x14ac:dyDescent="0.4">
      <c r="A6021" s="4"/>
      <c r="B6021" s="4"/>
      <c r="D6021" s="4"/>
      <c r="E6021" s="4"/>
      <c r="F6021" s="4"/>
    </row>
    <row r="6022" spans="1:6" x14ac:dyDescent="0.4">
      <c r="A6022" s="4"/>
      <c r="B6022" s="4"/>
      <c r="D6022" s="4"/>
      <c r="E6022" s="4"/>
      <c r="F6022" s="4"/>
    </row>
    <row r="6023" spans="1:6" x14ac:dyDescent="0.4">
      <c r="A6023" s="4"/>
      <c r="B6023" s="4"/>
      <c r="D6023" s="4"/>
      <c r="E6023" s="4"/>
      <c r="F6023" s="4"/>
    </row>
    <row r="6024" spans="1:6" x14ac:dyDescent="0.4">
      <c r="A6024" s="4"/>
      <c r="B6024" s="4"/>
      <c r="D6024" s="4"/>
      <c r="E6024" s="4"/>
      <c r="F6024" s="4"/>
    </row>
    <row r="6025" spans="1:6" x14ac:dyDescent="0.4">
      <c r="A6025" s="4"/>
      <c r="B6025" s="4"/>
      <c r="D6025" s="4"/>
      <c r="E6025" s="4"/>
      <c r="F6025" s="4"/>
    </row>
    <row r="6026" spans="1:6" x14ac:dyDescent="0.4">
      <c r="A6026" s="4"/>
      <c r="B6026" s="4"/>
      <c r="D6026" s="4"/>
      <c r="E6026" s="4"/>
      <c r="F6026" s="4"/>
    </row>
    <row r="6027" spans="1:6" x14ac:dyDescent="0.4">
      <c r="A6027" s="4"/>
      <c r="B6027" s="4"/>
      <c r="D6027" s="4"/>
      <c r="E6027" s="4"/>
      <c r="F6027" s="4"/>
    </row>
    <row r="6028" spans="1:6" x14ac:dyDescent="0.4">
      <c r="A6028" s="4"/>
      <c r="B6028" s="4"/>
      <c r="D6028" s="4"/>
      <c r="E6028" s="4"/>
      <c r="F6028" s="4"/>
    </row>
    <row r="6029" spans="1:6" x14ac:dyDescent="0.4">
      <c r="A6029" s="4"/>
      <c r="B6029" s="4"/>
      <c r="D6029" s="4"/>
      <c r="E6029" s="4"/>
      <c r="F6029" s="4"/>
    </row>
    <row r="6030" spans="1:6" x14ac:dyDescent="0.4">
      <c r="A6030" s="4"/>
      <c r="B6030" s="4"/>
      <c r="D6030" s="4"/>
      <c r="E6030" s="4"/>
      <c r="F6030" s="4"/>
    </row>
    <row r="6031" spans="1:6" x14ac:dyDescent="0.4">
      <c r="A6031" s="4"/>
      <c r="B6031" s="4"/>
      <c r="D6031" s="4"/>
      <c r="E6031" s="4"/>
      <c r="F6031" s="4"/>
    </row>
    <row r="6032" spans="1:6" x14ac:dyDescent="0.4">
      <c r="A6032" s="4"/>
      <c r="B6032" s="4"/>
      <c r="D6032" s="4"/>
      <c r="E6032" s="4"/>
      <c r="F6032" s="4"/>
    </row>
    <row r="6033" spans="1:6" x14ac:dyDescent="0.4">
      <c r="A6033" s="4"/>
      <c r="B6033" s="4"/>
      <c r="D6033" s="4"/>
      <c r="E6033" s="4"/>
      <c r="F6033" s="4"/>
    </row>
    <row r="6034" spans="1:6" x14ac:dyDescent="0.4">
      <c r="A6034" s="4"/>
      <c r="B6034" s="4"/>
      <c r="D6034" s="4"/>
      <c r="E6034" s="4"/>
      <c r="F6034" s="4"/>
    </row>
    <row r="6035" spans="1:6" x14ac:dyDescent="0.4">
      <c r="A6035" s="4"/>
      <c r="B6035" s="4"/>
      <c r="D6035" s="4"/>
      <c r="E6035" s="4"/>
      <c r="F6035" s="4"/>
    </row>
    <row r="6036" spans="1:6" x14ac:dyDescent="0.4">
      <c r="A6036" s="4"/>
      <c r="B6036" s="4"/>
      <c r="D6036" s="4"/>
      <c r="E6036" s="4"/>
      <c r="F6036" s="4"/>
    </row>
    <row r="6037" spans="1:6" x14ac:dyDescent="0.4">
      <c r="A6037" s="4"/>
      <c r="B6037" s="4"/>
      <c r="D6037" s="4"/>
      <c r="E6037" s="4"/>
      <c r="F6037" s="4"/>
    </row>
    <row r="6038" spans="1:6" x14ac:dyDescent="0.4">
      <c r="A6038" s="4"/>
      <c r="B6038" s="4"/>
      <c r="D6038" s="4"/>
      <c r="E6038" s="4"/>
      <c r="F6038" s="4"/>
    </row>
    <row r="6039" spans="1:6" x14ac:dyDescent="0.4">
      <c r="A6039" s="4"/>
      <c r="B6039" s="4"/>
      <c r="D6039" s="4"/>
      <c r="E6039" s="4"/>
      <c r="F6039" s="4"/>
    </row>
    <row r="6040" spans="1:6" x14ac:dyDescent="0.4">
      <c r="A6040" s="4"/>
      <c r="B6040" s="4"/>
      <c r="D6040" s="4"/>
      <c r="E6040" s="4"/>
      <c r="F6040" s="4"/>
    </row>
    <row r="6041" spans="1:6" x14ac:dyDescent="0.4">
      <c r="A6041" s="4"/>
      <c r="B6041" s="4"/>
      <c r="D6041" s="4"/>
      <c r="E6041" s="4"/>
      <c r="F6041" s="4"/>
    </row>
    <row r="6042" spans="1:6" x14ac:dyDescent="0.4">
      <c r="A6042" s="4"/>
      <c r="B6042" s="4"/>
      <c r="D6042" s="4"/>
      <c r="E6042" s="4"/>
      <c r="F6042" s="4"/>
    </row>
    <row r="6043" spans="1:6" x14ac:dyDescent="0.4">
      <c r="A6043" s="4"/>
      <c r="B6043" s="4"/>
      <c r="D6043" s="4"/>
      <c r="E6043" s="4"/>
      <c r="F6043" s="4"/>
    </row>
    <row r="6044" spans="1:6" x14ac:dyDescent="0.4">
      <c r="A6044" s="4"/>
      <c r="B6044" s="4"/>
      <c r="D6044" s="4"/>
      <c r="E6044" s="4"/>
      <c r="F6044" s="4"/>
    </row>
    <row r="6045" spans="1:6" x14ac:dyDescent="0.4">
      <c r="A6045" s="4"/>
      <c r="B6045" s="4"/>
      <c r="D6045" s="4"/>
      <c r="E6045" s="4"/>
      <c r="F6045" s="4"/>
    </row>
    <row r="6046" spans="1:6" x14ac:dyDescent="0.4">
      <c r="A6046" s="4"/>
      <c r="B6046" s="4"/>
      <c r="D6046" s="4"/>
      <c r="E6046" s="4"/>
      <c r="F6046" s="4"/>
    </row>
    <row r="6047" spans="1:6" x14ac:dyDescent="0.4">
      <c r="A6047" s="4"/>
      <c r="B6047" s="4"/>
      <c r="D6047" s="4"/>
      <c r="E6047" s="4"/>
      <c r="F6047" s="4"/>
    </row>
    <row r="6048" spans="1:6" x14ac:dyDescent="0.4">
      <c r="A6048" s="4"/>
      <c r="B6048" s="4"/>
      <c r="D6048" s="4"/>
      <c r="E6048" s="4"/>
      <c r="F6048" s="4"/>
    </row>
    <row r="6049" spans="1:6" x14ac:dyDescent="0.4">
      <c r="A6049" s="4"/>
      <c r="B6049" s="4"/>
      <c r="D6049" s="4"/>
      <c r="E6049" s="4"/>
      <c r="F6049" s="4"/>
    </row>
    <row r="6050" spans="1:6" x14ac:dyDescent="0.4">
      <c r="A6050" s="4"/>
      <c r="B6050" s="4"/>
      <c r="D6050" s="4"/>
      <c r="E6050" s="4"/>
      <c r="F6050" s="4"/>
    </row>
    <row r="6051" spans="1:6" x14ac:dyDescent="0.4">
      <c r="A6051" s="4"/>
      <c r="B6051" s="4"/>
      <c r="D6051" s="4"/>
      <c r="E6051" s="4"/>
      <c r="F6051" s="4"/>
    </row>
    <row r="6052" spans="1:6" x14ac:dyDescent="0.4">
      <c r="A6052" s="4"/>
      <c r="B6052" s="4"/>
      <c r="D6052" s="4"/>
      <c r="E6052" s="4"/>
      <c r="F6052" s="4"/>
    </row>
    <row r="6053" spans="1:6" x14ac:dyDescent="0.4">
      <c r="A6053" s="4"/>
      <c r="B6053" s="4"/>
      <c r="D6053" s="4"/>
      <c r="E6053" s="4"/>
      <c r="F6053" s="4"/>
    </row>
    <row r="6054" spans="1:6" x14ac:dyDescent="0.4">
      <c r="A6054" s="4"/>
      <c r="B6054" s="4"/>
      <c r="D6054" s="4"/>
      <c r="E6054" s="4"/>
      <c r="F6054" s="4"/>
    </row>
    <row r="6055" spans="1:6" x14ac:dyDescent="0.4">
      <c r="A6055" s="4"/>
      <c r="B6055" s="4"/>
      <c r="D6055" s="4"/>
      <c r="E6055" s="4"/>
      <c r="F6055" s="4"/>
    </row>
    <row r="6056" spans="1:6" x14ac:dyDescent="0.4">
      <c r="A6056" s="4"/>
      <c r="B6056" s="4"/>
      <c r="D6056" s="4"/>
      <c r="E6056" s="4"/>
      <c r="F6056" s="4"/>
    </row>
    <row r="6057" spans="1:6" x14ac:dyDescent="0.4">
      <c r="A6057" s="4"/>
      <c r="B6057" s="4"/>
      <c r="D6057" s="4"/>
      <c r="E6057" s="4"/>
      <c r="F6057" s="4"/>
    </row>
    <row r="6058" spans="1:6" x14ac:dyDescent="0.4">
      <c r="A6058" s="4"/>
      <c r="B6058" s="4"/>
      <c r="D6058" s="4"/>
      <c r="E6058" s="4"/>
      <c r="F6058" s="4"/>
    </row>
    <row r="6059" spans="1:6" x14ac:dyDescent="0.4">
      <c r="A6059" s="4"/>
      <c r="B6059" s="4"/>
      <c r="D6059" s="4"/>
      <c r="E6059" s="4"/>
      <c r="F6059" s="4"/>
    </row>
    <row r="6060" spans="1:6" x14ac:dyDescent="0.4">
      <c r="A6060" s="4"/>
      <c r="B6060" s="4"/>
      <c r="D6060" s="4"/>
      <c r="E6060" s="4"/>
      <c r="F6060" s="4"/>
    </row>
    <row r="6061" spans="1:6" x14ac:dyDescent="0.4">
      <c r="A6061" s="4"/>
      <c r="B6061" s="4"/>
      <c r="D6061" s="4"/>
      <c r="E6061" s="4"/>
      <c r="F6061" s="4"/>
    </row>
    <row r="6062" spans="1:6" x14ac:dyDescent="0.4">
      <c r="A6062" s="4"/>
      <c r="B6062" s="4"/>
      <c r="D6062" s="4"/>
      <c r="E6062" s="4"/>
      <c r="F6062" s="4"/>
    </row>
    <row r="6063" spans="1:6" x14ac:dyDescent="0.4">
      <c r="A6063" s="4"/>
      <c r="B6063" s="4"/>
      <c r="D6063" s="4"/>
      <c r="E6063" s="4"/>
      <c r="F6063" s="4"/>
    </row>
    <row r="6064" spans="1:6" x14ac:dyDescent="0.4">
      <c r="A6064" s="4"/>
      <c r="B6064" s="4"/>
      <c r="D6064" s="4"/>
      <c r="E6064" s="4"/>
      <c r="F6064" s="4"/>
    </row>
    <row r="6065" spans="1:6" x14ac:dyDescent="0.4">
      <c r="A6065" s="4"/>
      <c r="B6065" s="4"/>
      <c r="D6065" s="4"/>
      <c r="E6065" s="4"/>
      <c r="F6065" s="4"/>
    </row>
    <row r="6066" spans="1:6" x14ac:dyDescent="0.4">
      <c r="A6066" s="4"/>
      <c r="B6066" s="4"/>
      <c r="D6066" s="4"/>
      <c r="E6066" s="4"/>
      <c r="F6066" s="4"/>
    </row>
    <row r="6067" spans="1:6" x14ac:dyDescent="0.4">
      <c r="A6067" s="4"/>
      <c r="B6067" s="4"/>
      <c r="D6067" s="4"/>
      <c r="E6067" s="4"/>
      <c r="F6067" s="4"/>
    </row>
    <row r="6068" spans="1:6" x14ac:dyDescent="0.4">
      <c r="A6068" s="4"/>
      <c r="B6068" s="4"/>
      <c r="D6068" s="4"/>
      <c r="E6068" s="4"/>
      <c r="F6068" s="4"/>
    </row>
    <row r="6069" spans="1:6" x14ac:dyDescent="0.4">
      <c r="A6069" s="4"/>
      <c r="B6069" s="4"/>
      <c r="D6069" s="4"/>
      <c r="E6069" s="4"/>
      <c r="F6069" s="4"/>
    </row>
    <row r="6070" spans="1:6" x14ac:dyDescent="0.4">
      <c r="A6070" s="4"/>
      <c r="B6070" s="4"/>
      <c r="D6070" s="4"/>
      <c r="E6070" s="4"/>
      <c r="F6070" s="4"/>
    </row>
    <row r="6071" spans="1:6" x14ac:dyDescent="0.4">
      <c r="A6071" s="4"/>
      <c r="B6071" s="4"/>
      <c r="D6071" s="4"/>
      <c r="E6071" s="4"/>
      <c r="F6071" s="4"/>
    </row>
    <row r="6072" spans="1:6" x14ac:dyDescent="0.4">
      <c r="A6072" s="4"/>
      <c r="B6072" s="4"/>
      <c r="D6072" s="4"/>
      <c r="E6072" s="4"/>
      <c r="F6072" s="4"/>
    </row>
    <row r="6073" spans="1:6" x14ac:dyDescent="0.4">
      <c r="A6073" s="4"/>
      <c r="B6073" s="4"/>
      <c r="D6073" s="4"/>
      <c r="E6073" s="4"/>
      <c r="F6073" s="4"/>
    </row>
    <row r="6074" spans="1:6" x14ac:dyDescent="0.4">
      <c r="A6074" s="4"/>
      <c r="B6074" s="4"/>
      <c r="D6074" s="4"/>
      <c r="E6074" s="4"/>
      <c r="F6074" s="4"/>
    </row>
    <row r="6075" spans="1:6" x14ac:dyDescent="0.4">
      <c r="A6075" s="4"/>
      <c r="B6075" s="4"/>
      <c r="D6075" s="4"/>
      <c r="E6075" s="4"/>
      <c r="F6075" s="4"/>
    </row>
    <row r="6076" spans="1:6" x14ac:dyDescent="0.4">
      <c r="A6076" s="4"/>
      <c r="B6076" s="4"/>
      <c r="D6076" s="4"/>
      <c r="E6076" s="4"/>
      <c r="F6076" s="4"/>
    </row>
    <row r="6077" spans="1:6" x14ac:dyDescent="0.4">
      <c r="A6077" s="4"/>
      <c r="B6077" s="4"/>
      <c r="D6077" s="4"/>
      <c r="E6077" s="4"/>
      <c r="F6077" s="4"/>
    </row>
    <row r="6078" spans="1:6" x14ac:dyDescent="0.4">
      <c r="A6078" s="4"/>
      <c r="B6078" s="4"/>
      <c r="D6078" s="4"/>
      <c r="E6078" s="4"/>
      <c r="F6078" s="4"/>
    </row>
    <row r="6079" spans="1:6" x14ac:dyDescent="0.4">
      <c r="A6079" s="4"/>
      <c r="B6079" s="4"/>
      <c r="D6079" s="4"/>
      <c r="E6079" s="4"/>
      <c r="F6079" s="4"/>
    </row>
    <row r="6080" spans="1:6" x14ac:dyDescent="0.4">
      <c r="A6080" s="4"/>
      <c r="B6080" s="4"/>
      <c r="D6080" s="4"/>
      <c r="E6080" s="4"/>
      <c r="F6080" s="4"/>
    </row>
    <row r="6081" spans="1:6" x14ac:dyDescent="0.4">
      <c r="A6081" s="4"/>
      <c r="B6081" s="4"/>
      <c r="D6081" s="4"/>
      <c r="E6081" s="4"/>
      <c r="F6081" s="4"/>
    </row>
    <row r="6082" spans="1:6" x14ac:dyDescent="0.4">
      <c r="A6082" s="4"/>
      <c r="B6082" s="4"/>
      <c r="D6082" s="4"/>
      <c r="E6082" s="4"/>
      <c r="F6082" s="4"/>
    </row>
    <row r="6083" spans="1:6" x14ac:dyDescent="0.4">
      <c r="A6083" s="4"/>
      <c r="B6083" s="4"/>
      <c r="D6083" s="4"/>
      <c r="E6083" s="4"/>
      <c r="F6083" s="4"/>
    </row>
    <row r="6084" spans="1:6" x14ac:dyDescent="0.4">
      <c r="A6084" s="4"/>
      <c r="B6084" s="4"/>
      <c r="D6084" s="4"/>
      <c r="E6084" s="4"/>
      <c r="F6084" s="4"/>
    </row>
    <row r="6085" spans="1:6" x14ac:dyDescent="0.4">
      <c r="A6085" s="4"/>
      <c r="B6085" s="4"/>
      <c r="D6085" s="4"/>
      <c r="E6085" s="4"/>
      <c r="F6085" s="4"/>
    </row>
    <row r="6086" spans="1:6" x14ac:dyDescent="0.4">
      <c r="A6086" s="4"/>
      <c r="B6086" s="4"/>
      <c r="D6086" s="4"/>
      <c r="E6086" s="4"/>
      <c r="F6086" s="4"/>
    </row>
    <row r="6087" spans="1:6" x14ac:dyDescent="0.4">
      <c r="A6087" s="4"/>
      <c r="B6087" s="4"/>
      <c r="D6087" s="4"/>
      <c r="E6087" s="4"/>
      <c r="F6087" s="4"/>
    </row>
    <row r="6088" spans="1:6" x14ac:dyDescent="0.4">
      <c r="A6088" s="4"/>
      <c r="B6088" s="4"/>
      <c r="D6088" s="4"/>
      <c r="E6088" s="4"/>
      <c r="F6088" s="4"/>
    </row>
    <row r="6089" spans="1:6" x14ac:dyDescent="0.4">
      <c r="A6089" s="4"/>
      <c r="B6089" s="4"/>
      <c r="D6089" s="4"/>
      <c r="E6089" s="4"/>
      <c r="F6089" s="4"/>
    </row>
    <row r="6090" spans="1:6" x14ac:dyDescent="0.4">
      <c r="A6090" s="4"/>
      <c r="B6090" s="4"/>
      <c r="D6090" s="4"/>
      <c r="E6090" s="4"/>
      <c r="F6090" s="4"/>
    </row>
    <row r="6091" spans="1:6" x14ac:dyDescent="0.4">
      <c r="A6091" s="4"/>
      <c r="B6091" s="4"/>
      <c r="D6091" s="4"/>
      <c r="E6091" s="4"/>
      <c r="F6091" s="4"/>
    </row>
    <row r="6092" spans="1:6" x14ac:dyDescent="0.4">
      <c r="A6092" s="4"/>
      <c r="B6092" s="4"/>
      <c r="D6092" s="4"/>
      <c r="E6092" s="4"/>
      <c r="F6092" s="4"/>
    </row>
    <row r="6093" spans="1:6" x14ac:dyDescent="0.4">
      <c r="A6093" s="4"/>
      <c r="B6093" s="4"/>
      <c r="D6093" s="4"/>
      <c r="E6093" s="4"/>
      <c r="F6093" s="4"/>
    </row>
    <row r="6094" spans="1:6" x14ac:dyDescent="0.4">
      <c r="A6094" s="4"/>
      <c r="B6094" s="4"/>
      <c r="D6094" s="4"/>
      <c r="E6094" s="4"/>
      <c r="F6094" s="4"/>
    </row>
    <row r="6095" spans="1:6" x14ac:dyDescent="0.4">
      <c r="A6095" s="4"/>
      <c r="B6095" s="4"/>
      <c r="D6095" s="4"/>
      <c r="E6095" s="4"/>
      <c r="F6095" s="4"/>
    </row>
    <row r="6096" spans="1:6" x14ac:dyDescent="0.4">
      <c r="A6096" s="4"/>
      <c r="B6096" s="4"/>
      <c r="D6096" s="4"/>
      <c r="E6096" s="4"/>
      <c r="F6096" s="4"/>
    </row>
    <row r="6097" spans="1:6" x14ac:dyDescent="0.4">
      <c r="A6097" s="4"/>
      <c r="B6097" s="4"/>
      <c r="D6097" s="4"/>
      <c r="E6097" s="4"/>
      <c r="F6097" s="4"/>
    </row>
    <row r="6098" spans="1:6" x14ac:dyDescent="0.4">
      <c r="A6098" s="4"/>
      <c r="B6098" s="4"/>
      <c r="D6098" s="4"/>
      <c r="E6098" s="4"/>
      <c r="F6098" s="4"/>
    </row>
    <row r="6099" spans="1:6" x14ac:dyDescent="0.4">
      <c r="A6099" s="4"/>
      <c r="B6099" s="4"/>
      <c r="D6099" s="4"/>
      <c r="E6099" s="4"/>
      <c r="F6099" s="4"/>
    </row>
    <row r="6100" spans="1:6" x14ac:dyDescent="0.4">
      <c r="A6100" s="4"/>
      <c r="B6100" s="4"/>
      <c r="D6100" s="4"/>
      <c r="E6100" s="4"/>
      <c r="F6100" s="4"/>
    </row>
    <row r="6101" spans="1:6" x14ac:dyDescent="0.4">
      <c r="A6101" s="4"/>
      <c r="B6101" s="4"/>
      <c r="D6101" s="4"/>
      <c r="E6101" s="4"/>
      <c r="F6101" s="4"/>
    </row>
    <row r="6102" spans="1:6" x14ac:dyDescent="0.4">
      <c r="A6102" s="4"/>
      <c r="B6102" s="4"/>
      <c r="D6102" s="4"/>
      <c r="E6102" s="4"/>
      <c r="F6102" s="4"/>
    </row>
    <row r="6103" spans="1:6" x14ac:dyDescent="0.4">
      <c r="A6103" s="4"/>
      <c r="B6103" s="4"/>
      <c r="D6103" s="4"/>
      <c r="E6103" s="4"/>
      <c r="F6103" s="4"/>
    </row>
    <row r="6104" spans="1:6" x14ac:dyDescent="0.4">
      <c r="A6104" s="4"/>
      <c r="B6104" s="4"/>
      <c r="D6104" s="4"/>
      <c r="E6104" s="4"/>
      <c r="F6104" s="4"/>
    </row>
    <row r="6105" spans="1:6" x14ac:dyDescent="0.4">
      <c r="A6105" s="4"/>
      <c r="B6105" s="4"/>
      <c r="D6105" s="4"/>
      <c r="E6105" s="4"/>
      <c r="F6105" s="4"/>
    </row>
    <row r="6106" spans="1:6" x14ac:dyDescent="0.4">
      <c r="A6106" s="4"/>
      <c r="B6106" s="4"/>
      <c r="D6106" s="4"/>
      <c r="E6106" s="4"/>
      <c r="F6106" s="4"/>
    </row>
    <row r="6107" spans="1:6" x14ac:dyDescent="0.4">
      <c r="A6107" s="4"/>
      <c r="B6107" s="4"/>
      <c r="D6107" s="4"/>
      <c r="E6107" s="4"/>
      <c r="F6107" s="4"/>
    </row>
    <row r="6108" spans="1:6" x14ac:dyDescent="0.4">
      <c r="A6108" s="4"/>
      <c r="B6108" s="4"/>
      <c r="D6108" s="4"/>
      <c r="E6108" s="4"/>
      <c r="F6108" s="4"/>
    </row>
    <row r="6109" spans="1:6" x14ac:dyDescent="0.4">
      <c r="A6109" s="4"/>
      <c r="B6109" s="4"/>
      <c r="D6109" s="4"/>
      <c r="E6109" s="4"/>
      <c r="F6109" s="4"/>
    </row>
    <row r="6110" spans="1:6" x14ac:dyDescent="0.4">
      <c r="A6110" s="4"/>
      <c r="B6110" s="4"/>
      <c r="D6110" s="4"/>
      <c r="E6110" s="4"/>
      <c r="F6110" s="4"/>
    </row>
    <row r="6111" spans="1:6" x14ac:dyDescent="0.4">
      <c r="A6111" s="4"/>
      <c r="B6111" s="4"/>
      <c r="D6111" s="4"/>
      <c r="E6111" s="4"/>
      <c r="F6111" s="4"/>
    </row>
    <row r="6112" spans="1:6" x14ac:dyDescent="0.4">
      <c r="A6112" s="4"/>
      <c r="B6112" s="4"/>
      <c r="D6112" s="4"/>
      <c r="E6112" s="4"/>
      <c r="F6112" s="4"/>
    </row>
    <row r="6113" spans="1:6" x14ac:dyDescent="0.4">
      <c r="A6113" s="4"/>
      <c r="B6113" s="4"/>
      <c r="D6113" s="4"/>
      <c r="E6113" s="4"/>
      <c r="F6113" s="4"/>
    </row>
    <row r="6114" spans="1:6" x14ac:dyDescent="0.4">
      <c r="A6114" s="4"/>
      <c r="B6114" s="4"/>
      <c r="D6114" s="4"/>
      <c r="E6114" s="4"/>
      <c r="F6114" s="4"/>
    </row>
    <row r="6115" spans="1:6" x14ac:dyDescent="0.4">
      <c r="A6115" s="4"/>
      <c r="B6115" s="4"/>
      <c r="D6115" s="4"/>
      <c r="E6115" s="4"/>
      <c r="F6115" s="4"/>
    </row>
    <row r="6116" spans="1:6" x14ac:dyDescent="0.4">
      <c r="A6116" s="4"/>
      <c r="B6116" s="4"/>
      <c r="D6116" s="4"/>
      <c r="E6116" s="4"/>
      <c r="F6116" s="4"/>
    </row>
    <row r="6117" spans="1:6" x14ac:dyDescent="0.4">
      <c r="A6117" s="4"/>
      <c r="B6117" s="4"/>
      <c r="D6117" s="4"/>
      <c r="E6117" s="4"/>
      <c r="F6117" s="4"/>
    </row>
    <row r="6118" spans="1:6" x14ac:dyDescent="0.4">
      <c r="A6118" s="4"/>
      <c r="B6118" s="4"/>
      <c r="D6118" s="4"/>
      <c r="E6118" s="4"/>
      <c r="F6118" s="4"/>
    </row>
    <row r="6119" spans="1:6" x14ac:dyDescent="0.4">
      <c r="A6119" s="4"/>
      <c r="B6119" s="4"/>
      <c r="D6119" s="4"/>
      <c r="E6119" s="4"/>
      <c r="F6119" s="4"/>
    </row>
    <row r="6120" spans="1:6" x14ac:dyDescent="0.4">
      <c r="A6120" s="4"/>
      <c r="B6120" s="4"/>
      <c r="D6120" s="4"/>
      <c r="E6120" s="4"/>
      <c r="F6120" s="4"/>
    </row>
    <row r="6121" spans="1:6" x14ac:dyDescent="0.4">
      <c r="A6121" s="4"/>
      <c r="B6121" s="4"/>
      <c r="D6121" s="4"/>
      <c r="E6121" s="4"/>
      <c r="F6121" s="4"/>
    </row>
    <row r="6122" spans="1:6" x14ac:dyDescent="0.4">
      <c r="A6122" s="4"/>
      <c r="B6122" s="4"/>
      <c r="D6122" s="4"/>
      <c r="E6122" s="4"/>
      <c r="F6122" s="4"/>
    </row>
    <row r="6123" spans="1:6" x14ac:dyDescent="0.4">
      <c r="A6123" s="4"/>
      <c r="B6123" s="4"/>
      <c r="D6123" s="4"/>
      <c r="E6123" s="4"/>
      <c r="F6123" s="4"/>
    </row>
    <row r="6124" spans="1:6" x14ac:dyDescent="0.4">
      <c r="A6124" s="4"/>
      <c r="B6124" s="4"/>
      <c r="D6124" s="4"/>
      <c r="E6124" s="4"/>
      <c r="F6124" s="4"/>
    </row>
    <row r="6125" spans="1:6" x14ac:dyDescent="0.4">
      <c r="A6125" s="4"/>
      <c r="B6125" s="4"/>
      <c r="D6125" s="4"/>
      <c r="E6125" s="4"/>
      <c r="F6125" s="4"/>
    </row>
    <row r="6126" spans="1:6" x14ac:dyDescent="0.4">
      <c r="A6126" s="4"/>
      <c r="B6126" s="4"/>
      <c r="D6126" s="4"/>
      <c r="E6126" s="4"/>
      <c r="F6126" s="4"/>
    </row>
    <row r="6127" spans="1:6" x14ac:dyDescent="0.4">
      <c r="A6127" s="4"/>
      <c r="B6127" s="4"/>
      <c r="D6127" s="4"/>
      <c r="E6127" s="4"/>
      <c r="F6127" s="4"/>
    </row>
    <row r="6128" spans="1:6" x14ac:dyDescent="0.4">
      <c r="A6128" s="4"/>
      <c r="B6128" s="4"/>
      <c r="D6128" s="4"/>
      <c r="E6128" s="4"/>
      <c r="F6128" s="4"/>
    </row>
    <row r="6129" spans="1:6" x14ac:dyDescent="0.4">
      <c r="A6129" s="4"/>
      <c r="B6129" s="4"/>
      <c r="D6129" s="4"/>
      <c r="E6129" s="4"/>
      <c r="F6129" s="4"/>
    </row>
    <row r="6130" spans="1:6" x14ac:dyDescent="0.4">
      <c r="A6130" s="4"/>
      <c r="B6130" s="4"/>
      <c r="D6130" s="4"/>
      <c r="E6130" s="4"/>
      <c r="F6130" s="4"/>
    </row>
    <row r="6131" spans="1:6" x14ac:dyDescent="0.4">
      <c r="A6131" s="4"/>
      <c r="B6131" s="4"/>
      <c r="D6131" s="4"/>
      <c r="E6131" s="4"/>
      <c r="F6131" s="4"/>
    </row>
    <row r="6132" spans="1:6" x14ac:dyDescent="0.4">
      <c r="A6132" s="4"/>
      <c r="B6132" s="4"/>
      <c r="D6132" s="4"/>
      <c r="E6132" s="4"/>
      <c r="F6132" s="4"/>
    </row>
    <row r="6133" spans="1:6" x14ac:dyDescent="0.4">
      <c r="A6133" s="4"/>
      <c r="B6133" s="4"/>
      <c r="D6133" s="4"/>
      <c r="E6133" s="4"/>
      <c r="F6133" s="4"/>
    </row>
    <row r="6134" spans="1:6" x14ac:dyDescent="0.4">
      <c r="A6134" s="4"/>
      <c r="B6134" s="4"/>
      <c r="D6134" s="4"/>
      <c r="E6134" s="4"/>
      <c r="F6134" s="4"/>
    </row>
    <row r="6135" spans="1:6" x14ac:dyDescent="0.4">
      <c r="A6135" s="4"/>
      <c r="B6135" s="4"/>
      <c r="D6135" s="4"/>
      <c r="E6135" s="4"/>
      <c r="F6135" s="4"/>
    </row>
    <row r="6136" spans="1:6" x14ac:dyDescent="0.4">
      <c r="A6136" s="4"/>
      <c r="B6136" s="4"/>
      <c r="D6136" s="4"/>
      <c r="E6136" s="4"/>
      <c r="F6136" s="4"/>
    </row>
    <row r="6137" spans="1:6" x14ac:dyDescent="0.4">
      <c r="A6137" s="4"/>
      <c r="B6137" s="4"/>
      <c r="D6137" s="4"/>
      <c r="E6137" s="4"/>
      <c r="F6137" s="4"/>
    </row>
    <row r="6138" spans="1:6" x14ac:dyDescent="0.4">
      <c r="A6138" s="4"/>
      <c r="B6138" s="4"/>
      <c r="D6138" s="4"/>
      <c r="E6138" s="4"/>
      <c r="F6138" s="4"/>
    </row>
    <row r="6139" spans="1:6" x14ac:dyDescent="0.4">
      <c r="A6139" s="4"/>
      <c r="B6139" s="4"/>
      <c r="D6139" s="4"/>
      <c r="E6139" s="4"/>
      <c r="F6139" s="4"/>
    </row>
    <row r="6140" spans="1:6" x14ac:dyDescent="0.4">
      <c r="A6140" s="4"/>
      <c r="B6140" s="4"/>
      <c r="D6140" s="4"/>
      <c r="E6140" s="4"/>
      <c r="F6140" s="4"/>
    </row>
    <row r="6141" spans="1:6" x14ac:dyDescent="0.4">
      <c r="A6141" s="4"/>
      <c r="B6141" s="4"/>
      <c r="D6141" s="4"/>
      <c r="E6141" s="4"/>
      <c r="F6141" s="4"/>
    </row>
    <row r="6142" spans="1:6" x14ac:dyDescent="0.4">
      <c r="A6142" s="4"/>
      <c r="B6142" s="4"/>
      <c r="D6142" s="4"/>
      <c r="E6142" s="4"/>
      <c r="F6142" s="4"/>
    </row>
    <row r="6143" spans="1:6" x14ac:dyDescent="0.4">
      <c r="A6143" s="4"/>
      <c r="B6143" s="4"/>
      <c r="D6143" s="4"/>
      <c r="E6143" s="4"/>
      <c r="F6143" s="4"/>
    </row>
    <row r="6144" spans="1:6" x14ac:dyDescent="0.4">
      <c r="A6144" s="4"/>
      <c r="B6144" s="4"/>
      <c r="D6144" s="4"/>
      <c r="E6144" s="4"/>
      <c r="F6144" s="4"/>
    </row>
    <row r="6145" spans="1:6" x14ac:dyDescent="0.4">
      <c r="A6145" s="4"/>
      <c r="B6145" s="4"/>
      <c r="D6145" s="4"/>
      <c r="E6145" s="4"/>
      <c r="F6145" s="4"/>
    </row>
    <row r="6146" spans="1:6" x14ac:dyDescent="0.4">
      <c r="A6146" s="4"/>
      <c r="B6146" s="4"/>
      <c r="D6146" s="4"/>
      <c r="E6146" s="4"/>
      <c r="F6146" s="4"/>
    </row>
    <row r="6147" spans="1:6" x14ac:dyDescent="0.4">
      <c r="A6147" s="4"/>
      <c r="B6147" s="4"/>
      <c r="D6147" s="4"/>
      <c r="E6147" s="4"/>
      <c r="F6147" s="4"/>
    </row>
    <row r="6148" spans="1:6" x14ac:dyDescent="0.4">
      <c r="A6148" s="4"/>
      <c r="B6148" s="4"/>
      <c r="D6148" s="4"/>
      <c r="E6148" s="4"/>
      <c r="F6148" s="4"/>
    </row>
    <row r="6149" spans="1:6" x14ac:dyDescent="0.4">
      <c r="A6149" s="4"/>
      <c r="B6149" s="4"/>
      <c r="D6149" s="4"/>
      <c r="E6149" s="4"/>
      <c r="F6149" s="4"/>
    </row>
    <row r="6150" spans="1:6" x14ac:dyDescent="0.4">
      <c r="A6150" s="4"/>
      <c r="B6150" s="4"/>
      <c r="D6150" s="4"/>
      <c r="E6150" s="4"/>
      <c r="F6150" s="4"/>
    </row>
    <row r="6151" spans="1:6" x14ac:dyDescent="0.4">
      <c r="A6151" s="4"/>
      <c r="B6151" s="4"/>
      <c r="D6151" s="4"/>
      <c r="E6151" s="4"/>
      <c r="F6151" s="4"/>
    </row>
    <row r="6152" spans="1:6" x14ac:dyDescent="0.4">
      <c r="A6152" s="4"/>
      <c r="B6152" s="4"/>
      <c r="D6152" s="4"/>
      <c r="E6152" s="4"/>
      <c r="F6152" s="4"/>
    </row>
    <row r="6153" spans="1:6" x14ac:dyDescent="0.4">
      <c r="A6153" s="4"/>
      <c r="B6153" s="4"/>
      <c r="D6153" s="4"/>
      <c r="E6153" s="4"/>
      <c r="F6153" s="4"/>
    </row>
    <row r="6154" spans="1:6" x14ac:dyDescent="0.4">
      <c r="A6154" s="4"/>
      <c r="B6154" s="4"/>
      <c r="D6154" s="4"/>
      <c r="E6154" s="4"/>
      <c r="F6154" s="4"/>
    </row>
    <row r="6155" spans="1:6" x14ac:dyDescent="0.4">
      <c r="A6155" s="4"/>
      <c r="B6155" s="4"/>
      <c r="D6155" s="4"/>
      <c r="E6155" s="4"/>
      <c r="F6155" s="4"/>
    </row>
    <row r="6156" spans="1:6" x14ac:dyDescent="0.4">
      <c r="A6156" s="4"/>
      <c r="B6156" s="4"/>
      <c r="D6156" s="4"/>
      <c r="E6156" s="4"/>
      <c r="F6156" s="4"/>
    </row>
    <row r="6157" spans="1:6" x14ac:dyDescent="0.4">
      <c r="A6157" s="4"/>
      <c r="B6157" s="4"/>
      <c r="D6157" s="4"/>
      <c r="E6157" s="4"/>
      <c r="F6157" s="4"/>
    </row>
    <row r="6158" spans="1:6" x14ac:dyDescent="0.4">
      <c r="A6158" s="4"/>
      <c r="B6158" s="4"/>
      <c r="D6158" s="4"/>
      <c r="E6158" s="4"/>
      <c r="F6158" s="4"/>
    </row>
    <row r="6159" spans="1:6" x14ac:dyDescent="0.4">
      <c r="A6159" s="4"/>
      <c r="B6159" s="4"/>
      <c r="D6159" s="4"/>
      <c r="E6159" s="4"/>
      <c r="F6159" s="4"/>
    </row>
    <row r="6160" spans="1:6" x14ac:dyDescent="0.4">
      <c r="A6160" s="4"/>
      <c r="B6160" s="4"/>
      <c r="D6160" s="4"/>
      <c r="E6160" s="4"/>
      <c r="F6160" s="4"/>
    </row>
    <row r="6161" spans="1:6" x14ac:dyDescent="0.4">
      <c r="A6161" s="4"/>
      <c r="B6161" s="4"/>
      <c r="D6161" s="4"/>
      <c r="E6161" s="4"/>
      <c r="F6161" s="4"/>
    </row>
    <row r="6162" spans="1:6" x14ac:dyDescent="0.4">
      <c r="A6162" s="4"/>
      <c r="B6162" s="4"/>
      <c r="D6162" s="4"/>
      <c r="E6162" s="4"/>
      <c r="F6162" s="4"/>
    </row>
    <row r="6163" spans="1:6" x14ac:dyDescent="0.4">
      <c r="A6163" s="4"/>
      <c r="B6163" s="4"/>
      <c r="D6163" s="4"/>
      <c r="E6163" s="4"/>
      <c r="F6163" s="4"/>
    </row>
    <row r="6164" spans="1:6" x14ac:dyDescent="0.4">
      <c r="A6164" s="4"/>
      <c r="B6164" s="4"/>
      <c r="D6164" s="4"/>
      <c r="E6164" s="4"/>
      <c r="F6164" s="4"/>
    </row>
    <row r="6165" spans="1:6" x14ac:dyDescent="0.4">
      <c r="A6165" s="4"/>
      <c r="B6165" s="4"/>
      <c r="D6165" s="4"/>
      <c r="E6165" s="4"/>
      <c r="F6165" s="4"/>
    </row>
    <row r="6166" spans="1:6" x14ac:dyDescent="0.4">
      <c r="A6166" s="4"/>
      <c r="B6166" s="4"/>
      <c r="D6166" s="4"/>
      <c r="E6166" s="4"/>
      <c r="F6166" s="4"/>
    </row>
    <row r="6167" spans="1:6" x14ac:dyDescent="0.4">
      <c r="A6167" s="4"/>
      <c r="B6167" s="4"/>
      <c r="D6167" s="4"/>
      <c r="E6167" s="4"/>
      <c r="F6167" s="4"/>
    </row>
    <row r="6168" spans="1:6" x14ac:dyDescent="0.4">
      <c r="A6168" s="4"/>
      <c r="B6168" s="4"/>
      <c r="D6168" s="4"/>
      <c r="E6168" s="4"/>
      <c r="F6168" s="4"/>
    </row>
    <row r="6169" spans="1:6" x14ac:dyDescent="0.4">
      <c r="A6169" s="4"/>
      <c r="B6169" s="4"/>
      <c r="D6169" s="4"/>
      <c r="E6169" s="4"/>
      <c r="F6169" s="4"/>
    </row>
    <row r="6170" spans="1:6" x14ac:dyDescent="0.4">
      <c r="A6170" s="4"/>
      <c r="B6170" s="4"/>
      <c r="D6170" s="4"/>
      <c r="E6170" s="4"/>
      <c r="F6170" s="4"/>
    </row>
    <row r="6171" spans="1:6" x14ac:dyDescent="0.4">
      <c r="A6171" s="4"/>
      <c r="B6171" s="4"/>
      <c r="D6171" s="4"/>
      <c r="E6171" s="4"/>
      <c r="F6171" s="4"/>
    </row>
    <row r="6172" spans="1:6" x14ac:dyDescent="0.4">
      <c r="A6172" s="4"/>
      <c r="B6172" s="4"/>
      <c r="D6172" s="4"/>
      <c r="E6172" s="4"/>
      <c r="F6172" s="4"/>
    </row>
    <row r="6173" spans="1:6" x14ac:dyDescent="0.4">
      <c r="A6173" s="4"/>
      <c r="B6173" s="4"/>
      <c r="D6173" s="4"/>
      <c r="E6173" s="4"/>
      <c r="F6173" s="4"/>
    </row>
    <row r="6174" spans="1:6" x14ac:dyDescent="0.4">
      <c r="A6174" s="4"/>
      <c r="B6174" s="4"/>
      <c r="D6174" s="4"/>
      <c r="E6174" s="4"/>
      <c r="F6174" s="4"/>
    </row>
    <row r="6175" spans="1:6" x14ac:dyDescent="0.4">
      <c r="A6175" s="4"/>
      <c r="B6175" s="4"/>
      <c r="D6175" s="4"/>
      <c r="E6175" s="4"/>
      <c r="F6175" s="4"/>
    </row>
    <row r="6176" spans="1:6" x14ac:dyDescent="0.4">
      <c r="A6176" s="4"/>
      <c r="B6176" s="4"/>
      <c r="D6176" s="4"/>
      <c r="E6176" s="4"/>
      <c r="F6176" s="4"/>
    </row>
    <row r="6177" spans="1:6" x14ac:dyDescent="0.4">
      <c r="A6177" s="4"/>
      <c r="B6177" s="4"/>
      <c r="D6177" s="4"/>
      <c r="E6177" s="4"/>
      <c r="F6177" s="4"/>
    </row>
    <row r="6178" spans="1:6" x14ac:dyDescent="0.4">
      <c r="A6178" s="4"/>
      <c r="B6178" s="4"/>
      <c r="D6178" s="4"/>
      <c r="E6178" s="4"/>
      <c r="F6178" s="4"/>
    </row>
    <row r="6179" spans="1:6" x14ac:dyDescent="0.4">
      <c r="A6179" s="4"/>
      <c r="B6179" s="4"/>
      <c r="D6179" s="4"/>
      <c r="E6179" s="4"/>
      <c r="F6179" s="4"/>
    </row>
    <row r="6180" spans="1:6" x14ac:dyDescent="0.4">
      <c r="A6180" s="4"/>
      <c r="B6180" s="4"/>
      <c r="D6180" s="4"/>
      <c r="E6180" s="4"/>
      <c r="F6180" s="4"/>
    </row>
    <row r="6181" spans="1:6" x14ac:dyDescent="0.4">
      <c r="A6181" s="4"/>
      <c r="B6181" s="4"/>
      <c r="D6181" s="4"/>
      <c r="E6181" s="4"/>
      <c r="F6181" s="4"/>
    </row>
    <row r="6182" spans="1:6" x14ac:dyDescent="0.4">
      <c r="A6182" s="4"/>
      <c r="B6182" s="4"/>
      <c r="D6182" s="4"/>
      <c r="E6182" s="4"/>
      <c r="F6182" s="4"/>
    </row>
    <row r="6183" spans="1:6" x14ac:dyDescent="0.4">
      <c r="A6183" s="4"/>
      <c r="B6183" s="4"/>
      <c r="D6183" s="4"/>
      <c r="E6183" s="4"/>
      <c r="F6183" s="4"/>
    </row>
    <row r="6184" spans="1:6" x14ac:dyDescent="0.4">
      <c r="A6184" s="4"/>
      <c r="B6184" s="4"/>
      <c r="D6184" s="4"/>
      <c r="E6184" s="4"/>
      <c r="F6184" s="4"/>
    </row>
    <row r="6185" spans="1:6" x14ac:dyDescent="0.4">
      <c r="A6185" s="4"/>
      <c r="B6185" s="4"/>
      <c r="D6185" s="4"/>
      <c r="E6185" s="4"/>
      <c r="F6185" s="4"/>
    </row>
    <row r="6186" spans="1:6" x14ac:dyDescent="0.4">
      <c r="A6186" s="4"/>
      <c r="B6186" s="4"/>
      <c r="D6186" s="4"/>
      <c r="E6186" s="4"/>
      <c r="F6186" s="4"/>
    </row>
    <row r="6187" spans="1:6" x14ac:dyDescent="0.4">
      <c r="A6187" s="4"/>
      <c r="B6187" s="4"/>
      <c r="D6187" s="4"/>
      <c r="E6187" s="4"/>
      <c r="F6187" s="4"/>
    </row>
    <row r="6188" spans="1:6" x14ac:dyDescent="0.4">
      <c r="A6188" s="4"/>
      <c r="B6188" s="4"/>
      <c r="D6188" s="4"/>
      <c r="E6188" s="4"/>
      <c r="F6188" s="4"/>
    </row>
    <row r="6189" spans="1:6" x14ac:dyDescent="0.4">
      <c r="A6189" s="4"/>
      <c r="B6189" s="4"/>
      <c r="D6189" s="4"/>
      <c r="E6189" s="4"/>
      <c r="F6189" s="4"/>
    </row>
    <row r="6190" spans="1:6" x14ac:dyDescent="0.4">
      <c r="A6190" s="4"/>
      <c r="B6190" s="4"/>
      <c r="D6190" s="4"/>
      <c r="E6190" s="4"/>
      <c r="F6190" s="4"/>
    </row>
    <row r="6191" spans="1:6" x14ac:dyDescent="0.4">
      <c r="A6191" s="4"/>
      <c r="B6191" s="4"/>
      <c r="D6191" s="4"/>
      <c r="E6191" s="4"/>
      <c r="F6191" s="4"/>
    </row>
    <row r="6192" spans="1:6" x14ac:dyDescent="0.4">
      <c r="A6192" s="4"/>
      <c r="B6192" s="4"/>
      <c r="D6192" s="4"/>
      <c r="E6192" s="4"/>
      <c r="F6192" s="4"/>
    </row>
    <row r="6193" spans="1:6" x14ac:dyDescent="0.4">
      <c r="A6193" s="4"/>
      <c r="B6193" s="4"/>
      <c r="D6193" s="4"/>
      <c r="E6193" s="4"/>
      <c r="F6193" s="4"/>
    </row>
    <row r="6194" spans="1:6" x14ac:dyDescent="0.4">
      <c r="A6194" s="4"/>
      <c r="B6194" s="4"/>
      <c r="D6194" s="4"/>
      <c r="E6194" s="4"/>
      <c r="F6194" s="4"/>
    </row>
    <row r="6195" spans="1:6" x14ac:dyDescent="0.4">
      <c r="A6195" s="4"/>
      <c r="B6195" s="4"/>
      <c r="D6195" s="4"/>
      <c r="E6195" s="4"/>
      <c r="F6195" s="4"/>
    </row>
    <row r="6196" spans="1:6" x14ac:dyDescent="0.4">
      <c r="A6196" s="4"/>
      <c r="B6196" s="4"/>
      <c r="D6196" s="4"/>
      <c r="E6196" s="4"/>
      <c r="F6196" s="4"/>
    </row>
    <row r="6197" spans="1:6" x14ac:dyDescent="0.4">
      <c r="A6197" s="4"/>
      <c r="B6197" s="4"/>
      <c r="D6197" s="4"/>
      <c r="E6197" s="4"/>
      <c r="F6197" s="4"/>
    </row>
    <row r="6198" spans="1:6" x14ac:dyDescent="0.4">
      <c r="A6198" s="4"/>
      <c r="B6198" s="4"/>
      <c r="D6198" s="4"/>
      <c r="E6198" s="4"/>
      <c r="F6198" s="4"/>
    </row>
    <row r="6199" spans="1:6" x14ac:dyDescent="0.4">
      <c r="A6199" s="4"/>
      <c r="B6199" s="4"/>
      <c r="D6199" s="4"/>
      <c r="E6199" s="4"/>
      <c r="F6199" s="4"/>
    </row>
    <row r="6200" spans="1:6" x14ac:dyDescent="0.4">
      <c r="A6200" s="4"/>
      <c r="B6200" s="4"/>
      <c r="D6200" s="4"/>
      <c r="E6200" s="4"/>
      <c r="F6200" s="4"/>
    </row>
    <row r="6201" spans="1:6" x14ac:dyDescent="0.4">
      <c r="A6201" s="4"/>
      <c r="B6201" s="4"/>
      <c r="D6201" s="4"/>
      <c r="E6201" s="4"/>
      <c r="F6201" s="4"/>
    </row>
    <row r="6202" spans="1:6" x14ac:dyDescent="0.4">
      <c r="A6202" s="4"/>
      <c r="B6202" s="4"/>
      <c r="D6202" s="4"/>
      <c r="E6202" s="4"/>
      <c r="F6202" s="4"/>
    </row>
    <row r="6203" spans="1:6" x14ac:dyDescent="0.4">
      <c r="A6203" s="4"/>
      <c r="B6203" s="4"/>
      <c r="D6203" s="4"/>
      <c r="E6203" s="4"/>
      <c r="F6203" s="4"/>
    </row>
    <row r="6204" spans="1:6" x14ac:dyDescent="0.4">
      <c r="A6204" s="4"/>
      <c r="B6204" s="4"/>
      <c r="D6204" s="4"/>
      <c r="E6204" s="4"/>
      <c r="F6204" s="4"/>
    </row>
    <row r="6205" spans="1:6" x14ac:dyDescent="0.4">
      <c r="A6205" s="4"/>
      <c r="B6205" s="4"/>
      <c r="D6205" s="4"/>
      <c r="E6205" s="4"/>
      <c r="F6205" s="4"/>
    </row>
    <row r="6206" spans="1:6" x14ac:dyDescent="0.4">
      <c r="A6206" s="4"/>
      <c r="B6206" s="4"/>
      <c r="D6206" s="4"/>
      <c r="E6206" s="4"/>
      <c r="F6206" s="4"/>
    </row>
    <row r="6207" spans="1:6" x14ac:dyDescent="0.4">
      <c r="A6207" s="4"/>
      <c r="B6207" s="4"/>
      <c r="D6207" s="4"/>
      <c r="E6207" s="4"/>
      <c r="F6207" s="4"/>
    </row>
    <row r="6208" spans="1:6" x14ac:dyDescent="0.4">
      <c r="A6208" s="4"/>
      <c r="B6208" s="4"/>
      <c r="D6208" s="4"/>
      <c r="E6208" s="4"/>
      <c r="F6208" s="4"/>
    </row>
    <row r="6209" spans="1:6" x14ac:dyDescent="0.4">
      <c r="A6209" s="4"/>
      <c r="B6209" s="4"/>
      <c r="D6209" s="4"/>
      <c r="E6209" s="4"/>
      <c r="F6209" s="4"/>
    </row>
    <row r="6210" spans="1:6" x14ac:dyDescent="0.4">
      <c r="A6210" s="4"/>
      <c r="B6210" s="4"/>
      <c r="D6210" s="4"/>
      <c r="E6210" s="4"/>
      <c r="F6210" s="4"/>
    </row>
    <row r="6211" spans="1:6" x14ac:dyDescent="0.4">
      <c r="A6211" s="4"/>
      <c r="B6211" s="4"/>
      <c r="D6211" s="4"/>
      <c r="E6211" s="4"/>
      <c r="F6211" s="4"/>
    </row>
    <row r="6212" spans="1:6" x14ac:dyDescent="0.4">
      <c r="A6212" s="4"/>
      <c r="B6212" s="4"/>
      <c r="D6212" s="4"/>
      <c r="E6212" s="4"/>
      <c r="F6212" s="4"/>
    </row>
    <row r="6213" spans="1:6" x14ac:dyDescent="0.4">
      <c r="A6213" s="4"/>
      <c r="B6213" s="4"/>
      <c r="D6213" s="4"/>
      <c r="E6213" s="4"/>
      <c r="F6213" s="4"/>
    </row>
    <row r="6214" spans="1:6" x14ac:dyDescent="0.4">
      <c r="A6214" s="4"/>
      <c r="B6214" s="4"/>
      <c r="D6214" s="4"/>
      <c r="E6214" s="4"/>
      <c r="F6214" s="4"/>
    </row>
    <row r="6215" spans="1:6" x14ac:dyDescent="0.4">
      <c r="A6215" s="4"/>
      <c r="B6215" s="4"/>
      <c r="D6215" s="4"/>
      <c r="E6215" s="4"/>
      <c r="F6215" s="4"/>
    </row>
    <row r="6216" spans="1:6" x14ac:dyDescent="0.4">
      <c r="A6216" s="4"/>
      <c r="B6216" s="4"/>
      <c r="D6216" s="4"/>
      <c r="E6216" s="4"/>
      <c r="F6216" s="4"/>
    </row>
    <row r="6217" spans="1:6" x14ac:dyDescent="0.4">
      <c r="A6217" s="4"/>
      <c r="B6217" s="4"/>
      <c r="D6217" s="4"/>
      <c r="E6217" s="4"/>
      <c r="F6217" s="4"/>
    </row>
    <row r="6218" spans="1:6" x14ac:dyDescent="0.4">
      <c r="A6218" s="4"/>
      <c r="B6218" s="4"/>
      <c r="D6218" s="4"/>
      <c r="E6218" s="4"/>
      <c r="F6218" s="4"/>
    </row>
    <row r="6219" spans="1:6" x14ac:dyDescent="0.4">
      <c r="A6219" s="4"/>
      <c r="B6219" s="4"/>
      <c r="D6219" s="4"/>
      <c r="E6219" s="4"/>
      <c r="F6219" s="4"/>
    </row>
    <row r="6220" spans="1:6" x14ac:dyDescent="0.4">
      <c r="A6220" s="4"/>
      <c r="B6220" s="4"/>
      <c r="D6220" s="4"/>
      <c r="E6220" s="4"/>
      <c r="F6220" s="4"/>
    </row>
    <row r="6221" spans="1:6" x14ac:dyDescent="0.4">
      <c r="A6221" s="4"/>
      <c r="B6221" s="4"/>
      <c r="D6221" s="4"/>
      <c r="E6221" s="4"/>
      <c r="F6221" s="4"/>
    </row>
    <row r="6222" spans="1:6" x14ac:dyDescent="0.4">
      <c r="A6222" s="4"/>
      <c r="B6222" s="4"/>
      <c r="D6222" s="4"/>
      <c r="E6222" s="4"/>
      <c r="F6222" s="4"/>
    </row>
    <row r="6223" spans="1:6" x14ac:dyDescent="0.4">
      <c r="A6223" s="4"/>
      <c r="B6223" s="4"/>
      <c r="D6223" s="4"/>
      <c r="E6223" s="4"/>
      <c r="F6223" s="4"/>
    </row>
    <row r="6224" spans="1:6" x14ac:dyDescent="0.4">
      <c r="A6224" s="4"/>
      <c r="B6224" s="4"/>
      <c r="D6224" s="4"/>
      <c r="E6224" s="4"/>
      <c r="F6224" s="4"/>
    </row>
    <row r="6225" spans="1:6" x14ac:dyDescent="0.4">
      <c r="A6225" s="4"/>
      <c r="B6225" s="4"/>
      <c r="D6225" s="4"/>
      <c r="E6225" s="4"/>
      <c r="F6225" s="4"/>
    </row>
    <row r="6226" spans="1:6" x14ac:dyDescent="0.4">
      <c r="A6226" s="4"/>
      <c r="B6226" s="4"/>
      <c r="D6226" s="4"/>
      <c r="E6226" s="4"/>
      <c r="F6226" s="4"/>
    </row>
    <row r="6227" spans="1:6" x14ac:dyDescent="0.4">
      <c r="A6227" s="4"/>
      <c r="B6227" s="4"/>
      <c r="D6227" s="4"/>
      <c r="E6227" s="4"/>
      <c r="F6227" s="4"/>
    </row>
    <row r="6228" spans="1:6" x14ac:dyDescent="0.4">
      <c r="A6228" s="4"/>
      <c r="B6228" s="4"/>
      <c r="D6228" s="4"/>
      <c r="E6228" s="4"/>
      <c r="F6228" s="4"/>
    </row>
    <row r="6229" spans="1:6" x14ac:dyDescent="0.4">
      <c r="A6229" s="4"/>
      <c r="B6229" s="4"/>
      <c r="D6229" s="4"/>
      <c r="E6229" s="4"/>
      <c r="F6229" s="4"/>
    </row>
    <row r="6230" spans="1:6" x14ac:dyDescent="0.4">
      <c r="A6230" s="4"/>
      <c r="B6230" s="4"/>
      <c r="D6230" s="4"/>
      <c r="E6230" s="4"/>
      <c r="F6230" s="4"/>
    </row>
    <row r="6231" spans="1:6" x14ac:dyDescent="0.4">
      <c r="A6231" s="4"/>
      <c r="B6231" s="4"/>
      <c r="D6231" s="4"/>
      <c r="E6231" s="4"/>
      <c r="F6231" s="4"/>
    </row>
    <row r="6232" spans="1:6" x14ac:dyDescent="0.4">
      <c r="A6232" s="4"/>
      <c r="B6232" s="4"/>
      <c r="D6232" s="4"/>
      <c r="E6232" s="4"/>
      <c r="F6232" s="4"/>
    </row>
    <row r="6233" spans="1:6" x14ac:dyDescent="0.4">
      <c r="A6233" s="4"/>
      <c r="B6233" s="4"/>
      <c r="D6233" s="4"/>
      <c r="E6233" s="4"/>
      <c r="F6233" s="4"/>
    </row>
    <row r="6234" spans="1:6" x14ac:dyDescent="0.4">
      <c r="A6234" s="4"/>
      <c r="B6234" s="4"/>
      <c r="D6234" s="4"/>
      <c r="E6234" s="4"/>
      <c r="F6234" s="4"/>
    </row>
    <row r="6235" spans="1:6" x14ac:dyDescent="0.4">
      <c r="A6235" s="4"/>
      <c r="B6235" s="4"/>
      <c r="D6235" s="4"/>
      <c r="E6235" s="4"/>
      <c r="F6235" s="4"/>
    </row>
    <row r="6236" spans="1:6" x14ac:dyDescent="0.4">
      <c r="A6236" s="4"/>
      <c r="B6236" s="4"/>
      <c r="D6236" s="4"/>
      <c r="E6236" s="4"/>
      <c r="F6236" s="4"/>
    </row>
    <row r="6237" spans="1:6" x14ac:dyDescent="0.4">
      <c r="A6237" s="4"/>
      <c r="B6237" s="4"/>
      <c r="D6237" s="4"/>
      <c r="E6237" s="4"/>
      <c r="F6237" s="4"/>
    </row>
    <row r="6238" spans="1:6" x14ac:dyDescent="0.4">
      <c r="A6238" s="4"/>
      <c r="B6238" s="4"/>
      <c r="D6238" s="4"/>
      <c r="E6238" s="4"/>
      <c r="F6238" s="4"/>
    </row>
    <row r="6239" spans="1:6" x14ac:dyDescent="0.4">
      <c r="A6239" s="4"/>
      <c r="B6239" s="4"/>
      <c r="D6239" s="4"/>
      <c r="E6239" s="4"/>
      <c r="F6239" s="4"/>
    </row>
    <row r="6240" spans="1:6" x14ac:dyDescent="0.4">
      <c r="A6240" s="4"/>
      <c r="B6240" s="4"/>
      <c r="D6240" s="4"/>
      <c r="E6240" s="4"/>
      <c r="F6240" s="4"/>
    </row>
    <row r="6241" spans="1:6" x14ac:dyDescent="0.4">
      <c r="A6241" s="4"/>
      <c r="B6241" s="4"/>
      <c r="D6241" s="4"/>
      <c r="E6241" s="4"/>
      <c r="F6241" s="4"/>
    </row>
    <row r="6242" spans="1:6" x14ac:dyDescent="0.4">
      <c r="A6242" s="4"/>
      <c r="B6242" s="4"/>
      <c r="D6242" s="4"/>
      <c r="E6242" s="4"/>
      <c r="F6242" s="4"/>
    </row>
    <row r="6243" spans="1:6" x14ac:dyDescent="0.4">
      <c r="A6243" s="4"/>
      <c r="B6243" s="4"/>
      <c r="D6243" s="4"/>
      <c r="E6243" s="4"/>
      <c r="F6243" s="4"/>
    </row>
    <row r="6244" spans="1:6" x14ac:dyDescent="0.4">
      <c r="A6244" s="4"/>
      <c r="B6244" s="4"/>
      <c r="D6244" s="4"/>
      <c r="E6244" s="4"/>
      <c r="F6244" s="4"/>
    </row>
    <row r="6245" spans="1:6" x14ac:dyDescent="0.4">
      <c r="A6245" s="4"/>
      <c r="B6245" s="4"/>
      <c r="D6245" s="4"/>
      <c r="E6245" s="4"/>
      <c r="F6245" s="4"/>
    </row>
    <row r="6246" spans="1:6" x14ac:dyDescent="0.4">
      <c r="A6246" s="4"/>
      <c r="B6246" s="4"/>
      <c r="D6246" s="4"/>
      <c r="E6246" s="4"/>
      <c r="F6246" s="4"/>
    </row>
    <row r="6247" spans="1:6" x14ac:dyDescent="0.4">
      <c r="A6247" s="4"/>
      <c r="B6247" s="4"/>
      <c r="D6247" s="4"/>
      <c r="E6247" s="4"/>
      <c r="F6247" s="4"/>
    </row>
    <row r="6248" spans="1:6" x14ac:dyDescent="0.4">
      <c r="A6248" s="4"/>
      <c r="B6248" s="4"/>
      <c r="D6248" s="4"/>
      <c r="E6248" s="4"/>
      <c r="F6248" s="4"/>
    </row>
    <row r="6249" spans="1:6" x14ac:dyDescent="0.4">
      <c r="A6249" s="4"/>
      <c r="B6249" s="4"/>
      <c r="D6249" s="4"/>
      <c r="E6249" s="4"/>
      <c r="F6249" s="4"/>
    </row>
    <row r="6250" spans="1:6" x14ac:dyDescent="0.4">
      <c r="A6250" s="4"/>
      <c r="B6250" s="4"/>
      <c r="D6250" s="4"/>
      <c r="E6250" s="4"/>
      <c r="F6250" s="4"/>
    </row>
    <row r="6251" spans="1:6" x14ac:dyDescent="0.4">
      <c r="A6251" s="4"/>
      <c r="B6251" s="4"/>
      <c r="D6251" s="4"/>
      <c r="E6251" s="4"/>
      <c r="F6251" s="4"/>
    </row>
    <row r="6252" spans="1:6" x14ac:dyDescent="0.4">
      <c r="A6252" s="4"/>
      <c r="B6252" s="4"/>
      <c r="D6252" s="4"/>
      <c r="E6252" s="4"/>
      <c r="F6252" s="4"/>
    </row>
    <row r="6253" spans="1:6" x14ac:dyDescent="0.4">
      <c r="A6253" s="4"/>
      <c r="B6253" s="4"/>
      <c r="D6253" s="4"/>
      <c r="E6253" s="4"/>
      <c r="F6253" s="4"/>
    </row>
    <row r="6254" spans="1:6" x14ac:dyDescent="0.4">
      <c r="A6254" s="4"/>
      <c r="B6254" s="4"/>
      <c r="D6254" s="4"/>
      <c r="E6254" s="4"/>
      <c r="F6254" s="4"/>
    </row>
    <row r="6255" spans="1:6" x14ac:dyDescent="0.4">
      <c r="A6255" s="4"/>
      <c r="B6255" s="4"/>
      <c r="D6255" s="4"/>
      <c r="E6255" s="4"/>
      <c r="F6255" s="4"/>
    </row>
    <row r="6256" spans="1:6" x14ac:dyDescent="0.4">
      <c r="A6256" s="4"/>
      <c r="B6256" s="4"/>
      <c r="D6256" s="4"/>
      <c r="E6256" s="4"/>
      <c r="F6256" s="4"/>
    </row>
    <row r="6257" spans="1:6" x14ac:dyDescent="0.4">
      <c r="A6257" s="4"/>
      <c r="B6257" s="4"/>
      <c r="D6257" s="4"/>
      <c r="E6257" s="4"/>
      <c r="F6257" s="4"/>
    </row>
    <row r="6258" spans="1:6" x14ac:dyDescent="0.4">
      <c r="A6258" s="4"/>
      <c r="B6258" s="4"/>
      <c r="D6258" s="4"/>
      <c r="E6258" s="4"/>
      <c r="F6258" s="4"/>
    </row>
    <row r="6259" spans="1:6" x14ac:dyDescent="0.4">
      <c r="A6259" s="4"/>
      <c r="B6259" s="4"/>
      <c r="D6259" s="4"/>
      <c r="E6259" s="4"/>
      <c r="F6259" s="4"/>
    </row>
    <row r="6260" spans="1:6" x14ac:dyDescent="0.4">
      <c r="A6260" s="4"/>
      <c r="B6260" s="4"/>
      <c r="D6260" s="4"/>
      <c r="E6260" s="4"/>
      <c r="F6260" s="4"/>
    </row>
    <row r="6261" spans="1:6" x14ac:dyDescent="0.4">
      <c r="A6261" s="4"/>
      <c r="B6261" s="4"/>
      <c r="D6261" s="4"/>
      <c r="E6261" s="4"/>
      <c r="F6261" s="4"/>
    </row>
    <row r="6262" spans="1:6" x14ac:dyDescent="0.4">
      <c r="A6262" s="4"/>
      <c r="B6262" s="4"/>
      <c r="D6262" s="4"/>
      <c r="E6262" s="4"/>
      <c r="F6262" s="4"/>
    </row>
    <row r="6263" spans="1:6" x14ac:dyDescent="0.4">
      <c r="A6263" s="4"/>
      <c r="B6263" s="4"/>
      <c r="D6263" s="4"/>
      <c r="E6263" s="4"/>
      <c r="F6263" s="4"/>
    </row>
    <row r="6264" spans="1:6" x14ac:dyDescent="0.4">
      <c r="A6264" s="4"/>
      <c r="B6264" s="4"/>
      <c r="D6264" s="4"/>
      <c r="E6264" s="4"/>
      <c r="F6264" s="4"/>
    </row>
    <row r="6265" spans="1:6" x14ac:dyDescent="0.4">
      <c r="A6265" s="4"/>
      <c r="B6265" s="4"/>
      <c r="D6265" s="4"/>
      <c r="E6265" s="4"/>
      <c r="F6265" s="4"/>
    </row>
    <row r="6266" spans="1:6" x14ac:dyDescent="0.4">
      <c r="A6266" s="4"/>
      <c r="B6266" s="4"/>
      <c r="D6266" s="4"/>
      <c r="E6266" s="4"/>
      <c r="F6266" s="4"/>
    </row>
    <row r="6267" spans="1:6" x14ac:dyDescent="0.4">
      <c r="A6267" s="4"/>
      <c r="B6267" s="4"/>
      <c r="D6267" s="4"/>
      <c r="E6267" s="4"/>
      <c r="F6267" s="4"/>
    </row>
    <row r="6268" spans="1:6" x14ac:dyDescent="0.4">
      <c r="A6268" s="4"/>
      <c r="B6268" s="4"/>
      <c r="D6268" s="4"/>
      <c r="E6268" s="4"/>
      <c r="F6268" s="4"/>
    </row>
    <row r="6269" spans="1:6" x14ac:dyDescent="0.4">
      <c r="A6269" s="4"/>
      <c r="B6269" s="4"/>
      <c r="D6269" s="4"/>
      <c r="E6269" s="4"/>
      <c r="F6269" s="4"/>
    </row>
    <row r="6270" spans="1:6" x14ac:dyDescent="0.4">
      <c r="A6270" s="4"/>
      <c r="B6270" s="4"/>
      <c r="D6270" s="4"/>
      <c r="E6270" s="4"/>
      <c r="F6270" s="4"/>
    </row>
    <row r="6271" spans="1:6" x14ac:dyDescent="0.4">
      <c r="A6271" s="4"/>
      <c r="B6271" s="4"/>
      <c r="D6271" s="4"/>
      <c r="E6271" s="4"/>
      <c r="F6271" s="4"/>
    </row>
    <row r="6272" spans="1:6" x14ac:dyDescent="0.4">
      <c r="A6272" s="4"/>
      <c r="B6272" s="4"/>
      <c r="D6272" s="4"/>
      <c r="E6272" s="4"/>
      <c r="F6272" s="4"/>
    </row>
    <row r="6273" spans="1:6" x14ac:dyDescent="0.4">
      <c r="A6273" s="4"/>
      <c r="B6273" s="4"/>
      <c r="D6273" s="4"/>
      <c r="E6273" s="4"/>
      <c r="F6273" s="4"/>
    </row>
    <row r="6274" spans="1:6" x14ac:dyDescent="0.4">
      <c r="A6274" s="4"/>
      <c r="B6274" s="4"/>
      <c r="D6274" s="4"/>
      <c r="E6274" s="4"/>
      <c r="F6274" s="4"/>
    </row>
    <row r="6275" spans="1:6" x14ac:dyDescent="0.4">
      <c r="A6275" s="4"/>
      <c r="B6275" s="4"/>
      <c r="D6275" s="4"/>
      <c r="E6275" s="4"/>
      <c r="F6275" s="4"/>
    </row>
    <row r="6276" spans="1:6" x14ac:dyDescent="0.4">
      <c r="A6276" s="4"/>
      <c r="B6276" s="4"/>
      <c r="D6276" s="4"/>
      <c r="E6276" s="4"/>
      <c r="F6276" s="4"/>
    </row>
    <row r="6277" spans="1:6" x14ac:dyDescent="0.4">
      <c r="A6277" s="4"/>
      <c r="B6277" s="4"/>
      <c r="D6277" s="4"/>
      <c r="E6277" s="4"/>
      <c r="F6277" s="4"/>
    </row>
    <row r="6278" spans="1:6" x14ac:dyDescent="0.4">
      <c r="A6278" s="4"/>
      <c r="B6278" s="4"/>
      <c r="D6278" s="4"/>
      <c r="E6278" s="4"/>
      <c r="F6278" s="4"/>
    </row>
    <row r="6279" spans="1:6" x14ac:dyDescent="0.4">
      <c r="A6279" s="4"/>
      <c r="B6279" s="4"/>
      <c r="D6279" s="4"/>
      <c r="E6279" s="4"/>
      <c r="F6279" s="4"/>
    </row>
    <row r="6280" spans="1:6" x14ac:dyDescent="0.4">
      <c r="A6280" s="4"/>
      <c r="B6280" s="4"/>
      <c r="D6280" s="4"/>
      <c r="E6280" s="4"/>
      <c r="F6280" s="4"/>
    </row>
    <row r="6281" spans="1:6" x14ac:dyDescent="0.4">
      <c r="A6281" s="4"/>
      <c r="B6281" s="4"/>
      <c r="D6281" s="4"/>
      <c r="E6281" s="4"/>
      <c r="F6281" s="4"/>
    </row>
    <row r="6282" spans="1:6" x14ac:dyDescent="0.4">
      <c r="A6282" s="4"/>
      <c r="B6282" s="4"/>
      <c r="D6282" s="4"/>
      <c r="E6282" s="4"/>
      <c r="F6282" s="4"/>
    </row>
    <row r="6283" spans="1:6" x14ac:dyDescent="0.4">
      <c r="A6283" s="4"/>
      <c r="B6283" s="4"/>
      <c r="D6283" s="4"/>
      <c r="E6283" s="4"/>
      <c r="F6283" s="4"/>
    </row>
    <row r="6284" spans="1:6" x14ac:dyDescent="0.4">
      <c r="A6284" s="4"/>
      <c r="B6284" s="4"/>
      <c r="D6284" s="4"/>
      <c r="E6284" s="4"/>
      <c r="F6284" s="4"/>
    </row>
    <row r="6285" spans="1:6" x14ac:dyDescent="0.4">
      <c r="A6285" s="4"/>
      <c r="B6285" s="4"/>
      <c r="D6285" s="4"/>
      <c r="E6285" s="4"/>
      <c r="F6285" s="4"/>
    </row>
    <row r="6286" spans="1:6" x14ac:dyDescent="0.4">
      <c r="A6286" s="4"/>
      <c r="B6286" s="4"/>
      <c r="D6286" s="4"/>
      <c r="E6286" s="4"/>
      <c r="F6286" s="4"/>
    </row>
    <row r="6287" spans="1:6" x14ac:dyDescent="0.4">
      <c r="A6287" s="4"/>
      <c r="B6287" s="4"/>
      <c r="D6287" s="4"/>
      <c r="E6287" s="4"/>
      <c r="F6287" s="4"/>
    </row>
    <row r="6288" spans="1:6" x14ac:dyDescent="0.4">
      <c r="A6288" s="4"/>
      <c r="B6288" s="4"/>
      <c r="D6288" s="4"/>
      <c r="E6288" s="4"/>
      <c r="F6288" s="4"/>
    </row>
    <row r="6289" spans="1:6" x14ac:dyDescent="0.4">
      <c r="A6289" s="4"/>
      <c r="B6289" s="4"/>
      <c r="D6289" s="4"/>
      <c r="E6289" s="4"/>
      <c r="F6289" s="4"/>
    </row>
    <row r="6290" spans="1:6" x14ac:dyDescent="0.4">
      <c r="A6290" s="4"/>
      <c r="B6290" s="4"/>
      <c r="D6290" s="4"/>
      <c r="E6290" s="4"/>
      <c r="F6290" s="4"/>
    </row>
    <row r="6291" spans="1:6" x14ac:dyDescent="0.4">
      <c r="A6291" s="4"/>
      <c r="B6291" s="4"/>
      <c r="D6291" s="4"/>
      <c r="E6291" s="4"/>
      <c r="F6291" s="4"/>
    </row>
    <row r="6292" spans="1:6" x14ac:dyDescent="0.4">
      <c r="A6292" s="4"/>
      <c r="B6292" s="4"/>
      <c r="D6292" s="4"/>
      <c r="E6292" s="4"/>
      <c r="F6292" s="4"/>
    </row>
    <row r="6293" spans="1:6" x14ac:dyDescent="0.4">
      <c r="A6293" s="4"/>
      <c r="B6293" s="4"/>
      <c r="D6293" s="4"/>
      <c r="E6293" s="4"/>
      <c r="F6293" s="4"/>
    </row>
    <row r="6294" spans="1:6" x14ac:dyDescent="0.4">
      <c r="A6294" s="4"/>
      <c r="B6294" s="4"/>
      <c r="D6294" s="4"/>
      <c r="E6294" s="4"/>
      <c r="F6294" s="4"/>
    </row>
    <row r="6295" spans="1:6" x14ac:dyDescent="0.4">
      <c r="A6295" s="4"/>
      <c r="B6295" s="4"/>
      <c r="D6295" s="4"/>
      <c r="E6295" s="4"/>
      <c r="F6295" s="4"/>
    </row>
    <row r="6296" spans="1:6" x14ac:dyDescent="0.4">
      <c r="A6296" s="4"/>
      <c r="B6296" s="4"/>
      <c r="D6296" s="4"/>
      <c r="E6296" s="4"/>
      <c r="F6296" s="4"/>
    </row>
    <row r="6297" spans="1:6" x14ac:dyDescent="0.4">
      <c r="A6297" s="4"/>
      <c r="B6297" s="4"/>
      <c r="D6297" s="4"/>
      <c r="E6297" s="4"/>
      <c r="F6297" s="4"/>
    </row>
    <row r="6298" spans="1:6" x14ac:dyDescent="0.4">
      <c r="A6298" s="4"/>
      <c r="B6298" s="4"/>
      <c r="D6298" s="4"/>
      <c r="E6298" s="4"/>
      <c r="F6298" s="4"/>
    </row>
    <row r="6299" spans="1:6" x14ac:dyDescent="0.4">
      <c r="A6299" s="4"/>
      <c r="B6299" s="4"/>
      <c r="D6299" s="4"/>
      <c r="E6299" s="4"/>
      <c r="F6299" s="4"/>
    </row>
    <row r="6300" spans="1:6" x14ac:dyDescent="0.4">
      <c r="A6300" s="4"/>
      <c r="B6300" s="4"/>
      <c r="D6300" s="4"/>
      <c r="E6300" s="4"/>
      <c r="F6300" s="4"/>
    </row>
    <row r="6301" spans="1:6" x14ac:dyDescent="0.4">
      <c r="A6301" s="4"/>
      <c r="B6301" s="4"/>
      <c r="D6301" s="4"/>
      <c r="E6301" s="4"/>
      <c r="F6301" s="4"/>
    </row>
    <row r="6302" spans="1:6" x14ac:dyDescent="0.4">
      <c r="A6302" s="4"/>
      <c r="B6302" s="4"/>
      <c r="D6302" s="4"/>
      <c r="E6302" s="4"/>
      <c r="F6302" s="4"/>
    </row>
    <row r="6303" spans="1:6" x14ac:dyDescent="0.4">
      <c r="A6303" s="4"/>
      <c r="B6303" s="4"/>
      <c r="D6303" s="4"/>
      <c r="E6303" s="4"/>
      <c r="F6303" s="4"/>
    </row>
    <row r="6304" spans="1:6" x14ac:dyDescent="0.4">
      <c r="A6304" s="4"/>
      <c r="B6304" s="4"/>
      <c r="D6304" s="4"/>
      <c r="E6304" s="4"/>
      <c r="F6304" s="4"/>
    </row>
    <row r="6305" spans="1:6" x14ac:dyDescent="0.4">
      <c r="A6305" s="4"/>
      <c r="B6305" s="4"/>
      <c r="D6305" s="4"/>
      <c r="E6305" s="4"/>
      <c r="F6305" s="4"/>
    </row>
    <row r="6306" spans="1:6" x14ac:dyDescent="0.4">
      <c r="A6306" s="4"/>
      <c r="B6306" s="4"/>
      <c r="D6306" s="4"/>
      <c r="E6306" s="4"/>
      <c r="F6306" s="4"/>
    </row>
    <row r="6307" spans="1:6" x14ac:dyDescent="0.4">
      <c r="A6307" s="4"/>
      <c r="B6307" s="4"/>
      <c r="D6307" s="4"/>
      <c r="E6307" s="4"/>
      <c r="F6307" s="4"/>
    </row>
    <row r="6308" spans="1:6" x14ac:dyDescent="0.4">
      <c r="A6308" s="4"/>
      <c r="B6308" s="4"/>
      <c r="D6308" s="4"/>
      <c r="E6308" s="4"/>
      <c r="F6308" s="4"/>
    </row>
    <row r="6309" spans="1:6" x14ac:dyDescent="0.4">
      <c r="A6309" s="4"/>
      <c r="B6309" s="4"/>
      <c r="D6309" s="4"/>
      <c r="E6309" s="4"/>
      <c r="F6309" s="4"/>
    </row>
    <row r="6310" spans="1:6" x14ac:dyDescent="0.4">
      <c r="A6310" s="4"/>
      <c r="B6310" s="4"/>
      <c r="D6310" s="4"/>
      <c r="E6310" s="4"/>
      <c r="F6310" s="4"/>
    </row>
    <row r="6311" spans="1:6" x14ac:dyDescent="0.4">
      <c r="A6311" s="4"/>
      <c r="B6311" s="4"/>
      <c r="D6311" s="4"/>
      <c r="E6311" s="4"/>
      <c r="F6311" s="4"/>
    </row>
    <row r="6312" spans="1:6" x14ac:dyDescent="0.4">
      <c r="A6312" s="4"/>
      <c r="B6312" s="4"/>
      <c r="D6312" s="4"/>
      <c r="E6312" s="4"/>
      <c r="F6312" s="4"/>
    </row>
    <row r="6313" spans="1:6" x14ac:dyDescent="0.4">
      <c r="A6313" s="4"/>
      <c r="B6313" s="4"/>
      <c r="D6313" s="4"/>
      <c r="E6313" s="4"/>
      <c r="F6313" s="4"/>
    </row>
    <row r="6314" spans="1:6" x14ac:dyDescent="0.4">
      <c r="A6314" s="4"/>
      <c r="B6314" s="4"/>
      <c r="D6314" s="4"/>
      <c r="E6314" s="4"/>
      <c r="F6314" s="4"/>
    </row>
    <row r="6315" spans="1:6" x14ac:dyDescent="0.4">
      <c r="A6315" s="4"/>
      <c r="B6315" s="4"/>
      <c r="D6315" s="4"/>
      <c r="E6315" s="4"/>
      <c r="F6315" s="4"/>
    </row>
    <row r="6316" spans="1:6" x14ac:dyDescent="0.4">
      <c r="A6316" s="4"/>
      <c r="B6316" s="4"/>
      <c r="D6316" s="4"/>
      <c r="E6316" s="4"/>
      <c r="F6316" s="4"/>
    </row>
    <row r="6317" spans="1:6" x14ac:dyDescent="0.4">
      <c r="A6317" s="4"/>
      <c r="B6317" s="4"/>
      <c r="D6317" s="4"/>
      <c r="E6317" s="4"/>
      <c r="F6317" s="4"/>
    </row>
    <row r="6318" spans="1:6" x14ac:dyDescent="0.4">
      <c r="A6318" s="4"/>
      <c r="B6318" s="4"/>
      <c r="D6318" s="4"/>
      <c r="E6318" s="4"/>
      <c r="F6318" s="4"/>
    </row>
    <row r="6319" spans="1:6" x14ac:dyDescent="0.4">
      <c r="A6319" s="4"/>
      <c r="B6319" s="4"/>
      <c r="D6319" s="4"/>
      <c r="E6319" s="4"/>
      <c r="F6319" s="4"/>
    </row>
    <row r="6320" spans="1:6" x14ac:dyDescent="0.4">
      <c r="A6320" s="4"/>
      <c r="B6320" s="4"/>
      <c r="D6320" s="4"/>
      <c r="E6320" s="4"/>
      <c r="F6320" s="4"/>
    </row>
    <row r="6321" spans="1:6" x14ac:dyDescent="0.4">
      <c r="A6321" s="4"/>
      <c r="B6321" s="4"/>
      <c r="D6321" s="4"/>
      <c r="E6321" s="4"/>
      <c r="F6321" s="4"/>
    </row>
    <row r="6322" spans="1:6" x14ac:dyDescent="0.4">
      <c r="A6322" s="4"/>
      <c r="B6322" s="4"/>
      <c r="D6322" s="4"/>
      <c r="E6322" s="4"/>
      <c r="F6322" s="4"/>
    </row>
    <row r="6323" spans="1:6" x14ac:dyDescent="0.4">
      <c r="A6323" s="4"/>
      <c r="B6323" s="4"/>
      <c r="D6323" s="4"/>
      <c r="E6323" s="4"/>
      <c r="F6323" s="4"/>
    </row>
    <row r="6324" spans="1:6" x14ac:dyDescent="0.4">
      <c r="A6324" s="4"/>
      <c r="B6324" s="4"/>
      <c r="D6324" s="4"/>
      <c r="E6324" s="4"/>
      <c r="F6324" s="4"/>
    </row>
    <row r="6325" spans="1:6" x14ac:dyDescent="0.4">
      <c r="A6325" s="4"/>
      <c r="B6325" s="4"/>
      <c r="D6325" s="4"/>
      <c r="E6325" s="4"/>
      <c r="F6325" s="4"/>
    </row>
    <row r="6326" spans="1:6" x14ac:dyDescent="0.4">
      <c r="A6326" s="4"/>
      <c r="B6326" s="4"/>
      <c r="D6326" s="4"/>
      <c r="E6326" s="4"/>
      <c r="F6326" s="4"/>
    </row>
    <row r="6327" spans="1:6" x14ac:dyDescent="0.4">
      <c r="A6327" s="4"/>
      <c r="B6327" s="4"/>
      <c r="D6327" s="4"/>
      <c r="E6327" s="4"/>
      <c r="F6327" s="4"/>
    </row>
    <row r="6328" spans="1:6" x14ac:dyDescent="0.4">
      <c r="A6328" s="4"/>
      <c r="B6328" s="4"/>
      <c r="D6328" s="4"/>
      <c r="E6328" s="4"/>
      <c r="F6328" s="4"/>
    </row>
    <row r="6329" spans="1:6" x14ac:dyDescent="0.4">
      <c r="A6329" s="4"/>
      <c r="B6329" s="4"/>
      <c r="D6329" s="4"/>
      <c r="E6329" s="4"/>
      <c r="F6329" s="4"/>
    </row>
    <row r="6330" spans="1:6" x14ac:dyDescent="0.4">
      <c r="A6330" s="4"/>
      <c r="B6330" s="4"/>
      <c r="D6330" s="4"/>
      <c r="E6330" s="4"/>
      <c r="F6330" s="4"/>
    </row>
    <row r="6331" spans="1:6" x14ac:dyDescent="0.4">
      <c r="A6331" s="4"/>
      <c r="B6331" s="4"/>
      <c r="D6331" s="4"/>
      <c r="E6331" s="4"/>
      <c r="F6331" s="4"/>
    </row>
    <row r="6332" spans="1:6" x14ac:dyDescent="0.4">
      <c r="A6332" s="4"/>
      <c r="B6332" s="4"/>
      <c r="D6332" s="4"/>
      <c r="E6332" s="4"/>
      <c r="F6332" s="4"/>
    </row>
    <row r="6333" spans="1:6" x14ac:dyDescent="0.4">
      <c r="A6333" s="4"/>
      <c r="B6333" s="4"/>
      <c r="D6333" s="4"/>
      <c r="E6333" s="4"/>
      <c r="F6333" s="4"/>
    </row>
    <row r="6334" spans="1:6" x14ac:dyDescent="0.4">
      <c r="A6334" s="4"/>
      <c r="B6334" s="4"/>
      <c r="D6334" s="4"/>
      <c r="E6334" s="4"/>
      <c r="F6334" s="4"/>
    </row>
    <row r="6335" spans="1:6" x14ac:dyDescent="0.4">
      <c r="A6335" s="4"/>
      <c r="B6335" s="4"/>
      <c r="D6335" s="4"/>
      <c r="E6335" s="4"/>
      <c r="F6335" s="4"/>
    </row>
    <row r="6336" spans="1:6" x14ac:dyDescent="0.4">
      <c r="A6336" s="4"/>
      <c r="B6336" s="4"/>
      <c r="D6336" s="4"/>
      <c r="E6336" s="4"/>
      <c r="F6336" s="4"/>
    </row>
    <row r="6337" spans="1:6" x14ac:dyDescent="0.4">
      <c r="A6337" s="4"/>
      <c r="B6337" s="4"/>
      <c r="D6337" s="4"/>
      <c r="E6337" s="4"/>
      <c r="F6337" s="4"/>
    </row>
    <row r="6338" spans="1:6" x14ac:dyDescent="0.4">
      <c r="A6338" s="4"/>
      <c r="B6338" s="4"/>
      <c r="D6338" s="4"/>
      <c r="E6338" s="4"/>
      <c r="F6338" s="4"/>
    </row>
    <row r="6339" spans="1:6" x14ac:dyDescent="0.4">
      <c r="A6339" s="4"/>
      <c r="B6339" s="4"/>
      <c r="D6339" s="4"/>
      <c r="E6339" s="4"/>
      <c r="F6339" s="4"/>
    </row>
    <row r="6340" spans="1:6" x14ac:dyDescent="0.4">
      <c r="A6340" s="4"/>
      <c r="B6340" s="4"/>
      <c r="D6340" s="4"/>
      <c r="E6340" s="4"/>
      <c r="F6340" s="4"/>
    </row>
    <row r="6341" spans="1:6" x14ac:dyDescent="0.4">
      <c r="A6341" s="4"/>
      <c r="B6341" s="4"/>
      <c r="D6341" s="4"/>
      <c r="E6341" s="4"/>
      <c r="F6341" s="4"/>
    </row>
    <row r="6342" spans="1:6" x14ac:dyDescent="0.4">
      <c r="A6342" s="4"/>
      <c r="B6342" s="4"/>
      <c r="D6342" s="4"/>
      <c r="E6342" s="4"/>
      <c r="F6342" s="4"/>
    </row>
    <row r="6343" spans="1:6" x14ac:dyDescent="0.4">
      <c r="A6343" s="4"/>
      <c r="B6343" s="4"/>
      <c r="D6343" s="4"/>
      <c r="E6343" s="4"/>
      <c r="F6343" s="4"/>
    </row>
    <row r="6344" spans="1:6" x14ac:dyDescent="0.4">
      <c r="A6344" s="4"/>
      <c r="B6344" s="4"/>
      <c r="D6344" s="4"/>
      <c r="E6344" s="4"/>
      <c r="F6344" s="4"/>
    </row>
    <row r="6345" spans="1:6" x14ac:dyDescent="0.4">
      <c r="A6345" s="4"/>
      <c r="B6345" s="4"/>
      <c r="D6345" s="4"/>
      <c r="E6345" s="4"/>
      <c r="F6345" s="4"/>
    </row>
    <row r="6346" spans="1:6" x14ac:dyDescent="0.4">
      <c r="A6346" s="4"/>
      <c r="B6346" s="4"/>
      <c r="D6346" s="4"/>
      <c r="E6346" s="4"/>
      <c r="F6346" s="4"/>
    </row>
    <row r="6347" spans="1:6" x14ac:dyDescent="0.4">
      <c r="A6347" s="4"/>
      <c r="B6347" s="4"/>
      <c r="D6347" s="4"/>
      <c r="E6347" s="4"/>
      <c r="F6347" s="4"/>
    </row>
    <row r="6348" spans="1:6" x14ac:dyDescent="0.4">
      <c r="A6348" s="4"/>
      <c r="B6348" s="4"/>
      <c r="D6348" s="4"/>
      <c r="E6348" s="4"/>
      <c r="F6348" s="4"/>
    </row>
    <row r="6349" spans="1:6" x14ac:dyDescent="0.4">
      <c r="A6349" s="4"/>
      <c r="B6349" s="4"/>
      <c r="D6349" s="4"/>
      <c r="E6349" s="4"/>
      <c r="F6349" s="4"/>
    </row>
    <row r="6350" spans="1:6" x14ac:dyDescent="0.4">
      <c r="A6350" s="4"/>
      <c r="B6350" s="4"/>
      <c r="D6350" s="4"/>
      <c r="E6350" s="4"/>
      <c r="F6350" s="4"/>
    </row>
    <row r="6351" spans="1:6" x14ac:dyDescent="0.4">
      <c r="A6351" s="4"/>
      <c r="B6351" s="4"/>
      <c r="D6351" s="4"/>
      <c r="E6351" s="4"/>
      <c r="F6351" s="4"/>
    </row>
    <row r="6352" spans="1:6" x14ac:dyDescent="0.4">
      <c r="A6352" s="4"/>
      <c r="B6352" s="4"/>
      <c r="D6352" s="4"/>
      <c r="E6352" s="4"/>
      <c r="F6352" s="4"/>
    </row>
    <row r="6353" spans="1:6" x14ac:dyDescent="0.4">
      <c r="A6353" s="4"/>
      <c r="B6353" s="4"/>
      <c r="D6353" s="4"/>
      <c r="E6353" s="4"/>
      <c r="F6353" s="4"/>
    </row>
    <row r="6354" spans="1:6" x14ac:dyDescent="0.4">
      <c r="A6354" s="4"/>
      <c r="B6354" s="4"/>
      <c r="D6354" s="4"/>
      <c r="E6354" s="4"/>
      <c r="F6354" s="4"/>
    </row>
    <row r="6355" spans="1:6" x14ac:dyDescent="0.4">
      <c r="A6355" s="4"/>
      <c r="B6355" s="4"/>
      <c r="D6355" s="4"/>
      <c r="E6355" s="4"/>
      <c r="F6355" s="4"/>
    </row>
    <row r="6356" spans="1:6" x14ac:dyDescent="0.4">
      <c r="A6356" s="4"/>
      <c r="B6356" s="4"/>
      <c r="D6356" s="4"/>
      <c r="E6356" s="4"/>
      <c r="F6356" s="4"/>
    </row>
    <row r="6357" spans="1:6" x14ac:dyDescent="0.4">
      <c r="A6357" s="4"/>
      <c r="B6357" s="4"/>
      <c r="D6357" s="4"/>
      <c r="E6357" s="4"/>
      <c r="F6357" s="4"/>
    </row>
    <row r="6358" spans="1:6" x14ac:dyDescent="0.4">
      <c r="A6358" s="4"/>
      <c r="B6358" s="4"/>
      <c r="D6358" s="4"/>
      <c r="E6358" s="4"/>
      <c r="F6358" s="4"/>
    </row>
    <row r="6359" spans="1:6" x14ac:dyDescent="0.4">
      <c r="A6359" s="4"/>
      <c r="B6359" s="4"/>
      <c r="D6359" s="4"/>
      <c r="E6359" s="4"/>
      <c r="F6359" s="4"/>
    </row>
    <row r="6360" spans="1:6" x14ac:dyDescent="0.4">
      <c r="A6360" s="4"/>
      <c r="B6360" s="4"/>
      <c r="D6360" s="4"/>
      <c r="E6360" s="4"/>
      <c r="F6360" s="4"/>
    </row>
    <row r="6361" spans="1:6" x14ac:dyDescent="0.4">
      <c r="A6361" s="4"/>
      <c r="B6361" s="4"/>
      <c r="D6361" s="4"/>
      <c r="E6361" s="4"/>
      <c r="F6361" s="4"/>
    </row>
    <row r="6362" spans="1:6" x14ac:dyDescent="0.4">
      <c r="A6362" s="4"/>
      <c r="B6362" s="4"/>
      <c r="D6362" s="4"/>
      <c r="E6362" s="4"/>
      <c r="F6362" s="4"/>
    </row>
    <row r="6363" spans="1:6" x14ac:dyDescent="0.4">
      <c r="A6363" s="4"/>
      <c r="B6363" s="4"/>
      <c r="D6363" s="4"/>
      <c r="E6363" s="4"/>
      <c r="F6363" s="4"/>
    </row>
    <row r="6364" spans="1:6" x14ac:dyDescent="0.4">
      <c r="A6364" s="4"/>
      <c r="B6364" s="4"/>
      <c r="D6364" s="4"/>
      <c r="E6364" s="4"/>
      <c r="F6364" s="4"/>
    </row>
    <row r="6365" spans="1:6" x14ac:dyDescent="0.4">
      <c r="A6365" s="4"/>
      <c r="B6365" s="4"/>
      <c r="D6365" s="4"/>
      <c r="E6365" s="4"/>
      <c r="F6365" s="4"/>
    </row>
    <row r="6366" spans="1:6" x14ac:dyDescent="0.4">
      <c r="A6366" s="4"/>
      <c r="B6366" s="4"/>
      <c r="D6366" s="4"/>
      <c r="E6366" s="4"/>
      <c r="F6366" s="4"/>
    </row>
    <row r="6367" spans="1:6" x14ac:dyDescent="0.4">
      <c r="A6367" s="4"/>
      <c r="B6367" s="4"/>
      <c r="D6367" s="4"/>
      <c r="E6367" s="4"/>
      <c r="F6367" s="4"/>
    </row>
    <row r="6368" spans="1:6" x14ac:dyDescent="0.4">
      <c r="A6368" s="4"/>
      <c r="B6368" s="4"/>
      <c r="D6368" s="4"/>
      <c r="E6368" s="4"/>
      <c r="F6368" s="4"/>
    </row>
    <row r="6369" spans="1:6" x14ac:dyDescent="0.4">
      <c r="A6369" s="4"/>
      <c r="B6369" s="4"/>
      <c r="D6369" s="4"/>
      <c r="E6369" s="4"/>
      <c r="F6369" s="4"/>
    </row>
    <row r="6370" spans="1:6" x14ac:dyDescent="0.4">
      <c r="A6370" s="4"/>
      <c r="B6370" s="4"/>
      <c r="D6370" s="4"/>
      <c r="E6370" s="4"/>
      <c r="F6370" s="4"/>
    </row>
    <row r="6371" spans="1:6" x14ac:dyDescent="0.4">
      <c r="A6371" s="4"/>
      <c r="B6371" s="4"/>
      <c r="D6371" s="4"/>
      <c r="E6371" s="4"/>
      <c r="F6371" s="4"/>
    </row>
    <row r="6372" spans="1:6" x14ac:dyDescent="0.4">
      <c r="A6372" s="4"/>
      <c r="B6372" s="4"/>
      <c r="D6372" s="4"/>
      <c r="E6372" s="4"/>
      <c r="F6372" s="4"/>
    </row>
    <row r="6373" spans="1:6" x14ac:dyDescent="0.4">
      <c r="A6373" s="4"/>
      <c r="B6373" s="4"/>
      <c r="D6373" s="4"/>
      <c r="E6373" s="4"/>
      <c r="F6373" s="4"/>
    </row>
    <row r="6374" spans="1:6" x14ac:dyDescent="0.4">
      <c r="A6374" s="4"/>
      <c r="B6374" s="4"/>
      <c r="D6374" s="4"/>
      <c r="E6374" s="4"/>
      <c r="F6374" s="4"/>
    </row>
    <row r="6375" spans="1:6" x14ac:dyDescent="0.4">
      <c r="A6375" s="4"/>
      <c r="B6375" s="4"/>
      <c r="D6375" s="4"/>
      <c r="E6375" s="4"/>
      <c r="F6375" s="4"/>
    </row>
    <row r="6376" spans="1:6" x14ac:dyDescent="0.4">
      <c r="A6376" s="4"/>
      <c r="B6376" s="4"/>
      <c r="D6376" s="4"/>
      <c r="E6376" s="4"/>
      <c r="F6376" s="4"/>
    </row>
    <row r="6377" spans="1:6" x14ac:dyDescent="0.4">
      <c r="A6377" s="4"/>
      <c r="B6377" s="4"/>
      <c r="D6377" s="4"/>
      <c r="E6377" s="4"/>
      <c r="F6377" s="4"/>
    </row>
    <row r="6378" spans="1:6" x14ac:dyDescent="0.4">
      <c r="A6378" s="4"/>
      <c r="B6378" s="4"/>
      <c r="D6378" s="4"/>
      <c r="E6378" s="4"/>
      <c r="F6378" s="4"/>
    </row>
    <row r="6379" spans="1:6" x14ac:dyDescent="0.4">
      <c r="A6379" s="4"/>
      <c r="B6379" s="4"/>
      <c r="D6379" s="4"/>
      <c r="E6379" s="4"/>
      <c r="F6379" s="4"/>
    </row>
    <row r="6380" spans="1:6" x14ac:dyDescent="0.4">
      <c r="A6380" s="4"/>
      <c r="B6380" s="4"/>
      <c r="D6380" s="4"/>
      <c r="E6380" s="4"/>
      <c r="F6380" s="4"/>
    </row>
    <row r="6381" spans="1:6" x14ac:dyDescent="0.4">
      <c r="A6381" s="4"/>
      <c r="B6381" s="4"/>
      <c r="D6381" s="4"/>
      <c r="E6381" s="4"/>
      <c r="F6381" s="4"/>
    </row>
    <row r="6382" spans="1:6" x14ac:dyDescent="0.4">
      <c r="A6382" s="4"/>
      <c r="B6382" s="4"/>
      <c r="D6382" s="4"/>
      <c r="E6382" s="4"/>
      <c r="F6382" s="4"/>
    </row>
    <row r="6383" spans="1:6" x14ac:dyDescent="0.4">
      <c r="A6383" s="4"/>
      <c r="B6383" s="4"/>
      <c r="D6383" s="4"/>
      <c r="E6383" s="4"/>
      <c r="F6383" s="4"/>
    </row>
    <row r="6384" spans="1:6" x14ac:dyDescent="0.4">
      <c r="A6384" s="4"/>
      <c r="B6384" s="4"/>
      <c r="D6384" s="4"/>
      <c r="E6384" s="4"/>
      <c r="F6384" s="4"/>
    </row>
    <row r="6385" spans="1:6" x14ac:dyDescent="0.4">
      <c r="A6385" s="4"/>
      <c r="B6385" s="4"/>
      <c r="D6385" s="4"/>
      <c r="E6385" s="4"/>
      <c r="F6385" s="4"/>
    </row>
    <row r="6386" spans="1:6" x14ac:dyDescent="0.4">
      <c r="A6386" s="4"/>
      <c r="B6386" s="4"/>
      <c r="D6386" s="4"/>
      <c r="E6386" s="4"/>
      <c r="F6386" s="4"/>
    </row>
    <row r="6387" spans="1:6" x14ac:dyDescent="0.4">
      <c r="A6387" s="4"/>
      <c r="B6387" s="4"/>
      <c r="D6387" s="4"/>
      <c r="E6387" s="4"/>
      <c r="F6387" s="4"/>
    </row>
    <row r="6388" spans="1:6" x14ac:dyDescent="0.4">
      <c r="A6388" s="4"/>
      <c r="B6388" s="4"/>
      <c r="D6388" s="4"/>
      <c r="E6388" s="4"/>
      <c r="F6388" s="4"/>
    </row>
    <row r="6389" spans="1:6" x14ac:dyDescent="0.4">
      <c r="A6389" s="4"/>
      <c r="B6389" s="4"/>
      <c r="D6389" s="4"/>
      <c r="E6389" s="4"/>
      <c r="F6389" s="4"/>
    </row>
    <row r="6390" spans="1:6" x14ac:dyDescent="0.4">
      <c r="A6390" s="4"/>
      <c r="B6390" s="4"/>
      <c r="D6390" s="4"/>
      <c r="E6390" s="4"/>
      <c r="F6390" s="4"/>
    </row>
    <row r="6391" spans="1:6" x14ac:dyDescent="0.4">
      <c r="A6391" s="4"/>
      <c r="B6391" s="4"/>
      <c r="D6391" s="4"/>
      <c r="E6391" s="4"/>
      <c r="F6391" s="4"/>
    </row>
    <row r="6392" spans="1:6" x14ac:dyDescent="0.4">
      <c r="A6392" s="4"/>
      <c r="B6392" s="4"/>
      <c r="D6392" s="4"/>
      <c r="E6392" s="4"/>
      <c r="F6392" s="4"/>
    </row>
    <row r="6393" spans="1:6" x14ac:dyDescent="0.4">
      <c r="A6393" s="4"/>
      <c r="B6393" s="4"/>
      <c r="D6393" s="4"/>
      <c r="E6393" s="4"/>
      <c r="F6393" s="4"/>
    </row>
    <row r="6394" spans="1:6" x14ac:dyDescent="0.4">
      <c r="A6394" s="4"/>
      <c r="B6394" s="4"/>
      <c r="D6394" s="4"/>
      <c r="E6394" s="4"/>
      <c r="F6394" s="4"/>
    </row>
    <row r="6395" spans="1:6" x14ac:dyDescent="0.4">
      <c r="A6395" s="4"/>
      <c r="B6395" s="4"/>
      <c r="D6395" s="4"/>
      <c r="E6395" s="4"/>
      <c r="F6395" s="4"/>
    </row>
    <row r="6396" spans="1:6" x14ac:dyDescent="0.4">
      <c r="A6396" s="4"/>
      <c r="B6396" s="4"/>
      <c r="D6396" s="4"/>
      <c r="E6396" s="4"/>
      <c r="F6396" s="4"/>
    </row>
    <row r="6397" spans="1:6" x14ac:dyDescent="0.4">
      <c r="A6397" s="4"/>
      <c r="B6397" s="4"/>
      <c r="D6397" s="4"/>
      <c r="E6397" s="4"/>
      <c r="F6397" s="4"/>
    </row>
    <row r="6398" spans="1:6" x14ac:dyDescent="0.4">
      <c r="A6398" s="4"/>
      <c r="B6398" s="4"/>
      <c r="D6398" s="4"/>
      <c r="E6398" s="4"/>
      <c r="F6398" s="4"/>
    </row>
    <row r="6399" spans="1:6" x14ac:dyDescent="0.4">
      <c r="A6399" s="4"/>
      <c r="B6399" s="4"/>
      <c r="D6399" s="4"/>
      <c r="E6399" s="4"/>
      <c r="F6399" s="4"/>
    </row>
    <row r="6400" spans="1:6" x14ac:dyDescent="0.4">
      <c r="A6400" s="4"/>
      <c r="B6400" s="4"/>
      <c r="D6400" s="4"/>
      <c r="E6400" s="4"/>
      <c r="F6400" s="4"/>
    </row>
    <row r="6401" spans="1:6" x14ac:dyDescent="0.4">
      <c r="A6401" s="4"/>
      <c r="B6401" s="4"/>
      <c r="D6401" s="4"/>
      <c r="E6401" s="4"/>
      <c r="F6401" s="4"/>
    </row>
    <row r="6402" spans="1:6" x14ac:dyDescent="0.4">
      <c r="A6402" s="4"/>
      <c r="B6402" s="4"/>
      <c r="D6402" s="4"/>
      <c r="E6402" s="4"/>
      <c r="F6402" s="4"/>
    </row>
    <row r="6403" spans="1:6" x14ac:dyDescent="0.4">
      <c r="A6403" s="4"/>
      <c r="B6403" s="4"/>
      <c r="D6403" s="4"/>
      <c r="E6403" s="4"/>
      <c r="F6403" s="4"/>
    </row>
    <row r="6404" spans="1:6" x14ac:dyDescent="0.4">
      <c r="A6404" s="4"/>
      <c r="B6404" s="4"/>
      <c r="D6404" s="4"/>
      <c r="E6404" s="4"/>
      <c r="F6404" s="4"/>
    </row>
    <row r="6405" spans="1:6" x14ac:dyDescent="0.4">
      <c r="A6405" s="4"/>
      <c r="B6405" s="4"/>
      <c r="D6405" s="4"/>
      <c r="E6405" s="4"/>
      <c r="F6405" s="4"/>
    </row>
    <row r="6406" spans="1:6" x14ac:dyDescent="0.4">
      <c r="A6406" s="4"/>
      <c r="B6406" s="4"/>
      <c r="D6406" s="4"/>
      <c r="E6406" s="4"/>
      <c r="F6406" s="4"/>
    </row>
    <row r="6407" spans="1:6" x14ac:dyDescent="0.4">
      <c r="A6407" s="4"/>
      <c r="B6407" s="4"/>
      <c r="D6407" s="4"/>
      <c r="E6407" s="4"/>
      <c r="F6407" s="4"/>
    </row>
    <row r="6408" spans="1:6" x14ac:dyDescent="0.4">
      <c r="A6408" s="4"/>
      <c r="B6408" s="4"/>
      <c r="D6408" s="4"/>
      <c r="E6408" s="4"/>
      <c r="F6408" s="4"/>
    </row>
    <row r="6409" spans="1:6" x14ac:dyDescent="0.4">
      <c r="A6409" s="4"/>
      <c r="B6409" s="4"/>
      <c r="D6409" s="4"/>
      <c r="E6409" s="4"/>
      <c r="F6409" s="4"/>
    </row>
    <row r="6410" spans="1:6" x14ac:dyDescent="0.4">
      <c r="A6410" s="4"/>
      <c r="B6410" s="4"/>
      <c r="D6410" s="4"/>
      <c r="E6410" s="4"/>
      <c r="F6410" s="4"/>
    </row>
    <row r="6411" spans="1:6" x14ac:dyDescent="0.4">
      <c r="A6411" s="4"/>
      <c r="B6411" s="4"/>
      <c r="D6411" s="4"/>
      <c r="E6411" s="4"/>
      <c r="F6411" s="4"/>
    </row>
    <row r="6412" spans="1:6" x14ac:dyDescent="0.4">
      <c r="A6412" s="4"/>
      <c r="B6412" s="4"/>
      <c r="D6412" s="4"/>
      <c r="E6412" s="4"/>
      <c r="F6412" s="4"/>
    </row>
    <row r="6413" spans="1:6" x14ac:dyDescent="0.4">
      <c r="A6413" s="4"/>
      <c r="B6413" s="4"/>
      <c r="D6413" s="4"/>
      <c r="E6413" s="4"/>
      <c r="F6413" s="4"/>
    </row>
    <row r="6414" spans="1:6" x14ac:dyDescent="0.4">
      <c r="A6414" s="4"/>
      <c r="B6414" s="4"/>
      <c r="D6414" s="4"/>
      <c r="E6414" s="4"/>
      <c r="F6414" s="4"/>
    </row>
    <row r="6415" spans="1:6" x14ac:dyDescent="0.4">
      <c r="A6415" s="4"/>
      <c r="B6415" s="4"/>
      <c r="D6415" s="4"/>
      <c r="E6415" s="4"/>
      <c r="F6415" s="4"/>
    </row>
    <row r="6416" spans="1:6" x14ac:dyDescent="0.4">
      <c r="A6416" s="4"/>
      <c r="B6416" s="4"/>
      <c r="D6416" s="4"/>
      <c r="E6416" s="4"/>
      <c r="F6416" s="4"/>
    </row>
    <row r="6417" spans="1:6" x14ac:dyDescent="0.4">
      <c r="A6417" s="4"/>
      <c r="B6417" s="4"/>
      <c r="D6417" s="4"/>
      <c r="E6417" s="4"/>
      <c r="F6417" s="4"/>
    </row>
    <row r="6418" spans="1:6" x14ac:dyDescent="0.4">
      <c r="A6418" s="4"/>
      <c r="B6418" s="4"/>
      <c r="D6418" s="4"/>
      <c r="E6418" s="4"/>
      <c r="F6418" s="4"/>
    </row>
    <row r="6419" spans="1:6" x14ac:dyDescent="0.4">
      <c r="A6419" s="4"/>
      <c r="B6419" s="4"/>
      <c r="D6419" s="4"/>
      <c r="E6419" s="4"/>
      <c r="F6419" s="4"/>
    </row>
    <row r="6420" spans="1:6" x14ac:dyDescent="0.4">
      <c r="A6420" s="4"/>
      <c r="B6420" s="4"/>
      <c r="D6420" s="4"/>
      <c r="E6420" s="4"/>
      <c r="F6420" s="4"/>
    </row>
    <row r="6421" spans="1:6" x14ac:dyDescent="0.4">
      <c r="A6421" s="4"/>
      <c r="B6421" s="4"/>
      <c r="D6421" s="4"/>
      <c r="E6421" s="4"/>
      <c r="F6421" s="4"/>
    </row>
    <row r="6422" spans="1:6" x14ac:dyDescent="0.4">
      <c r="A6422" s="4"/>
      <c r="B6422" s="4"/>
      <c r="D6422" s="4"/>
      <c r="E6422" s="4"/>
      <c r="F6422" s="4"/>
    </row>
    <row r="6423" spans="1:6" x14ac:dyDescent="0.4">
      <c r="A6423" s="4"/>
      <c r="B6423" s="4"/>
      <c r="D6423" s="4"/>
      <c r="E6423" s="4"/>
      <c r="F6423" s="4"/>
    </row>
    <row r="6424" spans="1:6" x14ac:dyDescent="0.4">
      <c r="A6424" s="4"/>
      <c r="B6424" s="4"/>
      <c r="D6424" s="4"/>
      <c r="E6424" s="4"/>
      <c r="F6424" s="4"/>
    </row>
    <row r="6425" spans="1:6" x14ac:dyDescent="0.4">
      <c r="A6425" s="4"/>
      <c r="B6425" s="4"/>
      <c r="D6425" s="4"/>
      <c r="E6425" s="4"/>
      <c r="F6425" s="4"/>
    </row>
    <row r="6426" spans="1:6" x14ac:dyDescent="0.4">
      <c r="A6426" s="4"/>
      <c r="B6426" s="4"/>
      <c r="D6426" s="4"/>
      <c r="E6426" s="4"/>
      <c r="F6426" s="4"/>
    </row>
    <row r="6427" spans="1:6" x14ac:dyDescent="0.4">
      <c r="A6427" s="4"/>
      <c r="B6427" s="4"/>
      <c r="D6427" s="4"/>
      <c r="E6427" s="4"/>
      <c r="F6427" s="4"/>
    </row>
    <row r="6428" spans="1:6" x14ac:dyDescent="0.4">
      <c r="A6428" s="4"/>
      <c r="B6428" s="4"/>
      <c r="D6428" s="4"/>
      <c r="E6428" s="4"/>
      <c r="F6428" s="4"/>
    </row>
    <row r="6429" spans="1:6" x14ac:dyDescent="0.4">
      <c r="A6429" s="4"/>
      <c r="B6429" s="4"/>
      <c r="D6429" s="4"/>
      <c r="E6429" s="4"/>
      <c r="F6429" s="4"/>
    </row>
    <row r="6430" spans="1:6" x14ac:dyDescent="0.4">
      <c r="A6430" s="4"/>
      <c r="B6430" s="4"/>
      <c r="D6430" s="4"/>
      <c r="E6430" s="4"/>
      <c r="F6430" s="4"/>
    </row>
    <row r="6431" spans="1:6" x14ac:dyDescent="0.4">
      <c r="A6431" s="4"/>
      <c r="B6431" s="4"/>
      <c r="D6431" s="4"/>
      <c r="E6431" s="4"/>
      <c r="F6431" s="4"/>
    </row>
    <row r="6432" spans="1:6" x14ac:dyDescent="0.4">
      <c r="A6432" s="4"/>
      <c r="B6432" s="4"/>
      <c r="D6432" s="4"/>
      <c r="E6432" s="4"/>
      <c r="F6432" s="4"/>
    </row>
    <row r="6433" spans="1:6" x14ac:dyDescent="0.4">
      <c r="A6433" s="4"/>
      <c r="B6433" s="4"/>
      <c r="D6433" s="4"/>
      <c r="E6433" s="4"/>
      <c r="F6433" s="4"/>
    </row>
    <row r="6434" spans="1:6" x14ac:dyDescent="0.4">
      <c r="A6434" s="4"/>
      <c r="B6434" s="4"/>
      <c r="D6434" s="4"/>
      <c r="E6434" s="4"/>
      <c r="F6434" s="4"/>
    </row>
    <row r="6435" spans="1:6" x14ac:dyDescent="0.4">
      <c r="A6435" s="4"/>
      <c r="B6435" s="4"/>
      <c r="D6435" s="4"/>
      <c r="E6435" s="4"/>
      <c r="F6435" s="4"/>
    </row>
    <row r="6436" spans="1:6" x14ac:dyDescent="0.4">
      <c r="A6436" s="4"/>
      <c r="B6436" s="4"/>
      <c r="D6436" s="4"/>
      <c r="E6436" s="4"/>
      <c r="F6436" s="4"/>
    </row>
    <row r="6437" spans="1:6" x14ac:dyDescent="0.4">
      <c r="A6437" s="4"/>
      <c r="B6437" s="4"/>
      <c r="D6437" s="4"/>
      <c r="E6437" s="4"/>
      <c r="F6437" s="4"/>
    </row>
    <row r="6438" spans="1:6" x14ac:dyDescent="0.4">
      <c r="A6438" s="4"/>
      <c r="B6438" s="4"/>
      <c r="D6438" s="4"/>
      <c r="E6438" s="4"/>
      <c r="F6438" s="4"/>
    </row>
    <row r="6439" spans="1:6" x14ac:dyDescent="0.4">
      <c r="A6439" s="4"/>
      <c r="B6439" s="4"/>
      <c r="D6439" s="4"/>
      <c r="E6439" s="4"/>
      <c r="F6439" s="4"/>
    </row>
    <row r="6440" spans="1:6" x14ac:dyDescent="0.4">
      <c r="A6440" s="4"/>
      <c r="B6440" s="4"/>
      <c r="D6440" s="4"/>
      <c r="E6440" s="4"/>
      <c r="F6440" s="4"/>
    </row>
    <row r="6441" spans="1:6" x14ac:dyDescent="0.4">
      <c r="A6441" s="4"/>
      <c r="B6441" s="4"/>
      <c r="D6441" s="4"/>
      <c r="E6441" s="4"/>
      <c r="F6441" s="4"/>
    </row>
    <row r="6442" spans="1:6" x14ac:dyDescent="0.4">
      <c r="A6442" s="4"/>
      <c r="B6442" s="4"/>
      <c r="D6442" s="4"/>
      <c r="E6442" s="4"/>
      <c r="F6442" s="4"/>
    </row>
    <row r="6443" spans="1:6" x14ac:dyDescent="0.4">
      <c r="A6443" s="4"/>
      <c r="B6443" s="4"/>
      <c r="D6443" s="4"/>
      <c r="E6443" s="4"/>
      <c r="F6443" s="4"/>
    </row>
    <row r="6444" spans="1:6" x14ac:dyDescent="0.4">
      <c r="A6444" s="4"/>
      <c r="B6444" s="4"/>
      <c r="D6444" s="4"/>
      <c r="E6444" s="4"/>
      <c r="F6444" s="4"/>
    </row>
    <row r="6445" spans="1:6" x14ac:dyDescent="0.4">
      <c r="A6445" s="4"/>
      <c r="B6445" s="4"/>
      <c r="D6445" s="4"/>
      <c r="E6445" s="4"/>
      <c r="F6445" s="4"/>
    </row>
    <row r="6446" spans="1:6" x14ac:dyDescent="0.4">
      <c r="A6446" s="4"/>
      <c r="B6446" s="4"/>
      <c r="D6446" s="4"/>
      <c r="E6446" s="4"/>
      <c r="F6446" s="4"/>
    </row>
    <row r="6447" spans="1:6" x14ac:dyDescent="0.4">
      <c r="A6447" s="4"/>
      <c r="B6447" s="4"/>
      <c r="D6447" s="4"/>
      <c r="E6447" s="4"/>
      <c r="F6447" s="4"/>
    </row>
    <row r="6448" spans="1:6" x14ac:dyDescent="0.4">
      <c r="A6448" s="4"/>
      <c r="B6448" s="4"/>
      <c r="D6448" s="4"/>
      <c r="E6448" s="4"/>
      <c r="F6448" s="4"/>
    </row>
    <row r="6449" spans="1:6" x14ac:dyDescent="0.4">
      <c r="A6449" s="4"/>
      <c r="B6449" s="4"/>
      <c r="D6449" s="4"/>
      <c r="E6449" s="4"/>
      <c r="F6449" s="4"/>
    </row>
    <row r="6450" spans="1:6" x14ac:dyDescent="0.4">
      <c r="A6450" s="4"/>
      <c r="B6450" s="4"/>
      <c r="D6450" s="4"/>
      <c r="E6450" s="4"/>
      <c r="F6450" s="4"/>
    </row>
    <row r="6451" spans="1:6" x14ac:dyDescent="0.4">
      <c r="A6451" s="4"/>
      <c r="B6451" s="4"/>
      <c r="D6451" s="4"/>
      <c r="E6451" s="4"/>
      <c r="F6451" s="4"/>
    </row>
    <row r="6452" spans="1:6" x14ac:dyDescent="0.4">
      <c r="A6452" s="4"/>
      <c r="B6452" s="4"/>
      <c r="D6452" s="4"/>
      <c r="E6452" s="4"/>
      <c r="F6452" s="4"/>
    </row>
    <row r="6453" spans="1:6" x14ac:dyDescent="0.4">
      <c r="A6453" s="4"/>
      <c r="B6453" s="4"/>
      <c r="D6453" s="4"/>
      <c r="E6453" s="4"/>
      <c r="F6453" s="4"/>
    </row>
    <row r="6454" spans="1:6" x14ac:dyDescent="0.4">
      <c r="A6454" s="4"/>
      <c r="B6454" s="4"/>
      <c r="D6454" s="4"/>
      <c r="E6454" s="4"/>
      <c r="F6454" s="4"/>
    </row>
    <row r="6455" spans="1:6" x14ac:dyDescent="0.4">
      <c r="A6455" s="4"/>
      <c r="B6455" s="4"/>
      <c r="D6455" s="4"/>
      <c r="E6455" s="4"/>
      <c r="F6455" s="4"/>
    </row>
    <row r="6456" spans="1:6" x14ac:dyDescent="0.4">
      <c r="A6456" s="4"/>
      <c r="B6456" s="4"/>
      <c r="D6456" s="4"/>
      <c r="E6456" s="4"/>
      <c r="F6456" s="4"/>
    </row>
    <row r="6457" spans="1:6" x14ac:dyDescent="0.4">
      <c r="A6457" s="4"/>
      <c r="B6457" s="4"/>
      <c r="D6457" s="4"/>
      <c r="E6457" s="4"/>
      <c r="F6457" s="4"/>
    </row>
    <row r="6458" spans="1:6" x14ac:dyDescent="0.4">
      <c r="A6458" s="4"/>
      <c r="B6458" s="4"/>
      <c r="D6458" s="4"/>
      <c r="E6458" s="4"/>
      <c r="F6458" s="4"/>
    </row>
    <row r="6459" spans="1:6" x14ac:dyDescent="0.4">
      <c r="A6459" s="4"/>
      <c r="B6459" s="4"/>
      <c r="D6459" s="4"/>
      <c r="E6459" s="4"/>
      <c r="F6459" s="4"/>
    </row>
    <row r="6460" spans="1:6" x14ac:dyDescent="0.4">
      <c r="A6460" s="4"/>
      <c r="B6460" s="4"/>
      <c r="D6460" s="4"/>
      <c r="E6460" s="4"/>
      <c r="F6460" s="4"/>
    </row>
    <row r="6461" spans="1:6" x14ac:dyDescent="0.4">
      <c r="A6461" s="4"/>
      <c r="B6461" s="4"/>
      <c r="D6461" s="4"/>
      <c r="E6461" s="4"/>
      <c r="F6461" s="4"/>
    </row>
    <row r="6462" spans="1:6" x14ac:dyDescent="0.4">
      <c r="A6462" s="4"/>
      <c r="B6462" s="4"/>
      <c r="D6462" s="4"/>
      <c r="E6462" s="4"/>
      <c r="F6462" s="4"/>
    </row>
    <row r="6463" spans="1:6" x14ac:dyDescent="0.4">
      <c r="A6463" s="4"/>
      <c r="B6463" s="4"/>
      <c r="D6463" s="4"/>
      <c r="E6463" s="4"/>
      <c r="F6463" s="4"/>
    </row>
    <row r="6464" spans="1:6" x14ac:dyDescent="0.4">
      <c r="A6464" s="4"/>
      <c r="B6464" s="4"/>
      <c r="D6464" s="4"/>
      <c r="E6464" s="4"/>
      <c r="F6464" s="4"/>
    </row>
    <row r="6465" spans="1:6" x14ac:dyDescent="0.4">
      <c r="A6465" s="4"/>
      <c r="B6465" s="4"/>
      <c r="D6465" s="4"/>
      <c r="E6465" s="4"/>
      <c r="F6465" s="4"/>
    </row>
    <row r="6466" spans="1:6" x14ac:dyDescent="0.4">
      <c r="A6466" s="4"/>
      <c r="B6466" s="4"/>
      <c r="D6466" s="4"/>
      <c r="E6466" s="4"/>
      <c r="F6466" s="4"/>
    </row>
    <row r="6467" spans="1:6" x14ac:dyDescent="0.4">
      <c r="A6467" s="4"/>
      <c r="B6467" s="4"/>
      <c r="D6467" s="4"/>
      <c r="E6467" s="4"/>
      <c r="F6467" s="4"/>
    </row>
    <row r="6468" spans="1:6" x14ac:dyDescent="0.4">
      <c r="A6468" s="4"/>
      <c r="B6468" s="4"/>
      <c r="D6468" s="4"/>
      <c r="E6468" s="4"/>
      <c r="F6468" s="4"/>
    </row>
    <row r="6469" spans="1:6" x14ac:dyDescent="0.4">
      <c r="A6469" s="4"/>
      <c r="B6469" s="4"/>
      <c r="D6469" s="4"/>
      <c r="E6469" s="4"/>
      <c r="F6469" s="4"/>
    </row>
    <row r="6470" spans="1:6" x14ac:dyDescent="0.4">
      <c r="A6470" s="4"/>
      <c r="B6470" s="4"/>
      <c r="D6470" s="4"/>
      <c r="E6470" s="4"/>
      <c r="F6470" s="4"/>
    </row>
    <row r="6471" spans="1:6" x14ac:dyDescent="0.4">
      <c r="A6471" s="4"/>
      <c r="B6471" s="4"/>
      <c r="D6471" s="4"/>
      <c r="E6471" s="4"/>
      <c r="F6471" s="4"/>
    </row>
    <row r="6472" spans="1:6" x14ac:dyDescent="0.4">
      <c r="A6472" s="4"/>
      <c r="B6472" s="4"/>
      <c r="D6472" s="4"/>
      <c r="E6472" s="4"/>
      <c r="F6472" s="4"/>
    </row>
    <row r="6473" spans="1:6" x14ac:dyDescent="0.4">
      <c r="A6473" s="4"/>
      <c r="B6473" s="4"/>
      <c r="D6473" s="4"/>
      <c r="E6473" s="4"/>
      <c r="F6473" s="4"/>
    </row>
    <row r="6474" spans="1:6" x14ac:dyDescent="0.4">
      <c r="A6474" s="4"/>
      <c r="B6474" s="4"/>
      <c r="D6474" s="4"/>
      <c r="E6474" s="4"/>
      <c r="F6474" s="4"/>
    </row>
    <row r="6475" spans="1:6" x14ac:dyDescent="0.4">
      <c r="A6475" s="4"/>
      <c r="B6475" s="4"/>
      <c r="D6475" s="4"/>
      <c r="E6475" s="4"/>
      <c r="F6475" s="4"/>
    </row>
    <row r="6476" spans="1:6" x14ac:dyDescent="0.4">
      <c r="A6476" s="4"/>
      <c r="B6476" s="4"/>
      <c r="D6476" s="4"/>
      <c r="E6476" s="4"/>
      <c r="F6476" s="4"/>
    </row>
    <row r="6477" spans="1:6" x14ac:dyDescent="0.4">
      <c r="A6477" s="4"/>
      <c r="B6477" s="4"/>
      <c r="D6477" s="4"/>
      <c r="E6477" s="4"/>
      <c r="F6477" s="4"/>
    </row>
    <row r="6478" spans="1:6" x14ac:dyDescent="0.4">
      <c r="A6478" s="4"/>
      <c r="B6478" s="4"/>
      <c r="D6478" s="4"/>
      <c r="E6478" s="4"/>
      <c r="F6478" s="4"/>
    </row>
    <row r="6479" spans="1:6" x14ac:dyDescent="0.4">
      <c r="A6479" s="4"/>
      <c r="B6479" s="4"/>
      <c r="D6479" s="4"/>
      <c r="E6479" s="4"/>
      <c r="F6479" s="4"/>
    </row>
    <row r="6480" spans="1:6" x14ac:dyDescent="0.4">
      <c r="A6480" s="4"/>
      <c r="B6480" s="4"/>
      <c r="D6480" s="4"/>
      <c r="E6480" s="4"/>
      <c r="F6480" s="4"/>
    </row>
    <row r="6481" spans="1:6" x14ac:dyDescent="0.4">
      <c r="A6481" s="4"/>
      <c r="B6481" s="4"/>
      <c r="D6481" s="4"/>
      <c r="E6481" s="4"/>
      <c r="F6481" s="4"/>
    </row>
    <row r="6482" spans="1:6" x14ac:dyDescent="0.4">
      <c r="A6482" s="4"/>
      <c r="B6482" s="4"/>
      <c r="D6482" s="4"/>
      <c r="E6482" s="4"/>
      <c r="F6482" s="4"/>
    </row>
    <row r="6483" spans="1:6" x14ac:dyDescent="0.4">
      <c r="A6483" s="4"/>
      <c r="B6483" s="4"/>
      <c r="D6483" s="4"/>
      <c r="E6483" s="4"/>
      <c r="F6483" s="4"/>
    </row>
    <row r="6484" spans="1:6" x14ac:dyDescent="0.4">
      <c r="A6484" s="4"/>
      <c r="B6484" s="4"/>
      <c r="D6484" s="4"/>
      <c r="E6484" s="4"/>
      <c r="F6484" s="4"/>
    </row>
    <row r="6485" spans="1:6" x14ac:dyDescent="0.4">
      <c r="A6485" s="4"/>
      <c r="B6485" s="4"/>
      <c r="D6485" s="4"/>
      <c r="E6485" s="4"/>
      <c r="F6485" s="4"/>
    </row>
    <row r="6486" spans="1:6" x14ac:dyDescent="0.4">
      <c r="A6486" s="4"/>
      <c r="B6486" s="4"/>
      <c r="D6486" s="4"/>
      <c r="E6486" s="4"/>
      <c r="F6486" s="4"/>
    </row>
    <row r="6487" spans="1:6" x14ac:dyDescent="0.4">
      <c r="A6487" s="4"/>
      <c r="B6487" s="4"/>
      <c r="D6487" s="4"/>
      <c r="E6487" s="4"/>
      <c r="F6487" s="4"/>
    </row>
    <row r="6488" spans="1:6" x14ac:dyDescent="0.4">
      <c r="A6488" s="4"/>
      <c r="B6488" s="4"/>
      <c r="D6488" s="4"/>
      <c r="E6488" s="4"/>
      <c r="F6488" s="4"/>
    </row>
    <row r="6489" spans="1:6" x14ac:dyDescent="0.4">
      <c r="A6489" s="4"/>
      <c r="B6489" s="4"/>
      <c r="D6489" s="4"/>
      <c r="E6489" s="4"/>
      <c r="F6489" s="4"/>
    </row>
    <row r="6490" spans="1:6" x14ac:dyDescent="0.4">
      <c r="A6490" s="4"/>
      <c r="B6490" s="4"/>
      <c r="D6490" s="4"/>
      <c r="E6490" s="4"/>
      <c r="F6490" s="4"/>
    </row>
    <row r="6491" spans="1:6" x14ac:dyDescent="0.4">
      <c r="A6491" s="4"/>
      <c r="B6491" s="4"/>
      <c r="D6491" s="4"/>
      <c r="E6491" s="4"/>
      <c r="F6491" s="4"/>
    </row>
    <row r="6492" spans="1:6" x14ac:dyDescent="0.4">
      <c r="A6492" s="4"/>
      <c r="B6492" s="4"/>
      <c r="D6492" s="4"/>
      <c r="E6492" s="4"/>
      <c r="F6492" s="4"/>
    </row>
    <row r="6493" spans="1:6" x14ac:dyDescent="0.4">
      <c r="A6493" s="4"/>
      <c r="B6493" s="4"/>
      <c r="D6493" s="4"/>
      <c r="E6493" s="4"/>
      <c r="F6493" s="4"/>
    </row>
    <row r="6494" spans="1:6" x14ac:dyDescent="0.4">
      <c r="A6494" s="4"/>
      <c r="B6494" s="4"/>
      <c r="D6494" s="4"/>
      <c r="E6494" s="4"/>
      <c r="F6494" s="4"/>
    </row>
    <row r="6495" spans="1:6" x14ac:dyDescent="0.4">
      <c r="A6495" s="4"/>
      <c r="B6495" s="4"/>
      <c r="D6495" s="4"/>
      <c r="E6495" s="4"/>
      <c r="F6495" s="4"/>
    </row>
    <row r="6496" spans="1:6" x14ac:dyDescent="0.4">
      <c r="A6496" s="4"/>
      <c r="B6496" s="4"/>
      <c r="D6496" s="4"/>
      <c r="E6496" s="4"/>
      <c r="F6496" s="4"/>
    </row>
    <row r="6497" spans="1:6" x14ac:dyDescent="0.4">
      <c r="A6497" s="4"/>
      <c r="B6497" s="4"/>
      <c r="D6497" s="4"/>
      <c r="E6497" s="4"/>
      <c r="F6497" s="4"/>
    </row>
    <row r="6498" spans="1:6" x14ac:dyDescent="0.4">
      <c r="A6498" s="4"/>
      <c r="B6498" s="4"/>
      <c r="D6498" s="4"/>
      <c r="E6498" s="4"/>
      <c r="F6498" s="4"/>
    </row>
    <row r="6499" spans="1:6" x14ac:dyDescent="0.4">
      <c r="A6499" s="4"/>
      <c r="B6499" s="4"/>
      <c r="D6499" s="4"/>
      <c r="E6499" s="4"/>
      <c r="F6499" s="4"/>
    </row>
    <row r="6500" spans="1:6" x14ac:dyDescent="0.4">
      <c r="A6500" s="4"/>
      <c r="B6500" s="4"/>
      <c r="D6500" s="4"/>
      <c r="E6500" s="4"/>
      <c r="F6500" s="4"/>
    </row>
    <row r="6501" spans="1:6" x14ac:dyDescent="0.4">
      <c r="A6501" s="4"/>
      <c r="B6501" s="4"/>
      <c r="D6501" s="4"/>
      <c r="E6501" s="4"/>
      <c r="F6501" s="4"/>
    </row>
    <row r="6502" spans="1:6" x14ac:dyDescent="0.4">
      <c r="A6502" s="4"/>
      <c r="B6502" s="4"/>
      <c r="D6502" s="4"/>
      <c r="E6502" s="4"/>
      <c r="F6502" s="4"/>
    </row>
    <row r="6503" spans="1:6" x14ac:dyDescent="0.4">
      <c r="A6503" s="4"/>
      <c r="B6503" s="4"/>
      <c r="D6503" s="4"/>
      <c r="E6503" s="4"/>
      <c r="F6503" s="4"/>
    </row>
    <row r="6504" spans="1:6" x14ac:dyDescent="0.4">
      <c r="A6504" s="4"/>
      <c r="B6504" s="4"/>
      <c r="D6504" s="4"/>
      <c r="E6504" s="4"/>
      <c r="F6504" s="4"/>
    </row>
    <row r="6505" spans="1:6" x14ac:dyDescent="0.4">
      <c r="A6505" s="4"/>
      <c r="B6505" s="4"/>
      <c r="D6505" s="4"/>
      <c r="E6505" s="4"/>
      <c r="F6505" s="4"/>
    </row>
    <row r="6506" spans="1:6" x14ac:dyDescent="0.4">
      <c r="A6506" s="4"/>
      <c r="B6506" s="4"/>
      <c r="D6506" s="4"/>
      <c r="E6506" s="4"/>
      <c r="F6506" s="4"/>
    </row>
    <row r="6507" spans="1:6" x14ac:dyDescent="0.4">
      <c r="A6507" s="4"/>
      <c r="B6507" s="4"/>
      <c r="D6507" s="4"/>
      <c r="E6507" s="4"/>
      <c r="F6507" s="4"/>
    </row>
    <row r="6508" spans="1:6" x14ac:dyDescent="0.4">
      <c r="A6508" s="4"/>
      <c r="B6508" s="4"/>
      <c r="D6508" s="4"/>
      <c r="E6508" s="4"/>
      <c r="F6508" s="4"/>
    </row>
    <row r="6509" spans="1:6" x14ac:dyDescent="0.4">
      <c r="A6509" s="4"/>
      <c r="B6509" s="4"/>
      <c r="D6509" s="4"/>
      <c r="E6509" s="4"/>
      <c r="F6509" s="4"/>
    </row>
    <row r="6510" spans="1:6" x14ac:dyDescent="0.4">
      <c r="A6510" s="4"/>
      <c r="B6510" s="4"/>
      <c r="D6510" s="4"/>
      <c r="E6510" s="4"/>
      <c r="F6510" s="4"/>
    </row>
    <row r="6511" spans="1:6" x14ac:dyDescent="0.4">
      <c r="A6511" s="4"/>
      <c r="B6511" s="4"/>
      <c r="D6511" s="4"/>
      <c r="E6511" s="4"/>
      <c r="F6511" s="4"/>
    </row>
    <row r="6512" spans="1:6" x14ac:dyDescent="0.4">
      <c r="A6512" s="4"/>
      <c r="B6512" s="4"/>
      <c r="D6512" s="4"/>
      <c r="E6512" s="4"/>
      <c r="F6512" s="4"/>
    </row>
    <row r="6513" spans="1:6" x14ac:dyDescent="0.4">
      <c r="A6513" s="4"/>
      <c r="B6513" s="4"/>
      <c r="D6513" s="4"/>
      <c r="E6513" s="4"/>
      <c r="F6513" s="4"/>
    </row>
    <row r="6514" spans="1:6" x14ac:dyDescent="0.4">
      <c r="A6514" s="4"/>
      <c r="B6514" s="4"/>
      <c r="D6514" s="4"/>
      <c r="E6514" s="4"/>
      <c r="F6514" s="4"/>
    </row>
    <row r="6515" spans="1:6" x14ac:dyDescent="0.4">
      <c r="A6515" s="4"/>
      <c r="B6515" s="4"/>
      <c r="D6515" s="4"/>
      <c r="E6515" s="4"/>
      <c r="F6515" s="4"/>
    </row>
    <row r="6516" spans="1:6" x14ac:dyDescent="0.4">
      <c r="A6516" s="4"/>
      <c r="B6516" s="4"/>
      <c r="D6516" s="4"/>
      <c r="E6516" s="4"/>
      <c r="F6516" s="4"/>
    </row>
    <row r="6517" spans="1:6" x14ac:dyDescent="0.4">
      <c r="A6517" s="4"/>
      <c r="B6517" s="4"/>
      <c r="D6517" s="4"/>
      <c r="E6517" s="4"/>
      <c r="F6517" s="4"/>
    </row>
    <row r="6518" spans="1:6" x14ac:dyDescent="0.4">
      <c r="A6518" s="4"/>
      <c r="B6518" s="4"/>
      <c r="D6518" s="4"/>
      <c r="E6518" s="4"/>
      <c r="F6518" s="4"/>
    </row>
    <row r="6519" spans="1:6" x14ac:dyDescent="0.4">
      <c r="A6519" s="4"/>
      <c r="B6519" s="4"/>
      <c r="D6519" s="4"/>
      <c r="E6519" s="4"/>
      <c r="F6519" s="4"/>
    </row>
    <row r="6520" spans="1:6" x14ac:dyDescent="0.4">
      <c r="A6520" s="4"/>
      <c r="B6520" s="4"/>
      <c r="D6520" s="4"/>
      <c r="E6520" s="4"/>
      <c r="F6520" s="4"/>
    </row>
    <row r="6521" spans="1:6" x14ac:dyDescent="0.4">
      <c r="A6521" s="4"/>
      <c r="B6521" s="4"/>
      <c r="D6521" s="4"/>
      <c r="E6521" s="4"/>
      <c r="F6521" s="4"/>
    </row>
    <row r="6522" spans="1:6" x14ac:dyDescent="0.4">
      <c r="A6522" s="4"/>
      <c r="B6522" s="4"/>
      <c r="D6522" s="4"/>
      <c r="E6522" s="4"/>
      <c r="F6522" s="4"/>
    </row>
    <row r="6523" spans="1:6" x14ac:dyDescent="0.4">
      <c r="A6523" s="4"/>
      <c r="B6523" s="4"/>
      <c r="D6523" s="4"/>
      <c r="E6523" s="4"/>
      <c r="F6523" s="4"/>
    </row>
    <row r="6524" spans="1:6" x14ac:dyDescent="0.4">
      <c r="A6524" s="4"/>
      <c r="B6524" s="4"/>
      <c r="D6524" s="4"/>
      <c r="E6524" s="4"/>
      <c r="F6524" s="4"/>
    </row>
    <row r="6525" spans="1:6" x14ac:dyDescent="0.4">
      <c r="A6525" s="4"/>
      <c r="B6525" s="4"/>
      <c r="D6525" s="4"/>
      <c r="E6525" s="4"/>
      <c r="F6525" s="4"/>
    </row>
    <row r="6526" spans="1:6" x14ac:dyDescent="0.4">
      <c r="A6526" s="4"/>
      <c r="B6526" s="4"/>
      <c r="D6526" s="4"/>
      <c r="E6526" s="4"/>
      <c r="F6526" s="4"/>
    </row>
    <row r="6527" spans="1:6" x14ac:dyDescent="0.4">
      <c r="A6527" s="4"/>
      <c r="B6527" s="4"/>
      <c r="D6527" s="4"/>
      <c r="E6527" s="4"/>
      <c r="F6527" s="4"/>
    </row>
    <row r="6528" spans="1:6" x14ac:dyDescent="0.4">
      <c r="A6528" s="4"/>
      <c r="B6528" s="4"/>
      <c r="D6528" s="4"/>
      <c r="E6528" s="4"/>
      <c r="F6528" s="4"/>
    </row>
    <row r="6529" spans="1:6" x14ac:dyDescent="0.4">
      <c r="A6529" s="4"/>
      <c r="B6529" s="4"/>
      <c r="D6529" s="4"/>
      <c r="E6529" s="4"/>
      <c r="F6529" s="4"/>
    </row>
    <row r="6530" spans="1:6" x14ac:dyDescent="0.4">
      <c r="A6530" s="4"/>
      <c r="B6530" s="4"/>
      <c r="D6530" s="4"/>
      <c r="E6530" s="4"/>
      <c r="F6530" s="4"/>
    </row>
    <row r="6531" spans="1:6" x14ac:dyDescent="0.4">
      <c r="A6531" s="4"/>
      <c r="B6531" s="4"/>
      <c r="D6531" s="4"/>
      <c r="E6531" s="4"/>
      <c r="F6531" s="4"/>
    </row>
    <row r="6532" spans="1:6" x14ac:dyDescent="0.4">
      <c r="A6532" s="4"/>
      <c r="B6532" s="4"/>
      <c r="D6532" s="4"/>
      <c r="E6532" s="4"/>
      <c r="F6532" s="4"/>
    </row>
    <row r="6533" spans="1:6" x14ac:dyDescent="0.4">
      <c r="A6533" s="4"/>
      <c r="B6533" s="4"/>
      <c r="D6533" s="4"/>
      <c r="E6533" s="4"/>
      <c r="F6533" s="4"/>
    </row>
    <row r="6534" spans="1:6" x14ac:dyDescent="0.4">
      <c r="A6534" s="4"/>
      <c r="B6534" s="4"/>
      <c r="D6534" s="4"/>
      <c r="E6534" s="4"/>
      <c r="F6534" s="4"/>
    </row>
    <row r="6535" spans="1:6" x14ac:dyDescent="0.4">
      <c r="A6535" s="4"/>
      <c r="B6535" s="4"/>
      <c r="D6535" s="4"/>
      <c r="E6535" s="4"/>
      <c r="F6535" s="4"/>
    </row>
    <row r="6536" spans="1:6" x14ac:dyDescent="0.4">
      <c r="A6536" s="4"/>
      <c r="B6536" s="4"/>
      <c r="D6536" s="4"/>
      <c r="E6536" s="4"/>
      <c r="F6536" s="4"/>
    </row>
    <row r="6537" spans="1:6" x14ac:dyDescent="0.4">
      <c r="A6537" s="4"/>
      <c r="B6537" s="4"/>
      <c r="D6537" s="4"/>
      <c r="E6537" s="4"/>
      <c r="F6537" s="4"/>
    </row>
    <row r="6538" spans="1:6" x14ac:dyDescent="0.4">
      <c r="A6538" s="4"/>
      <c r="B6538" s="4"/>
      <c r="D6538" s="4"/>
      <c r="E6538" s="4"/>
      <c r="F6538" s="4"/>
    </row>
    <row r="6539" spans="1:6" x14ac:dyDescent="0.4">
      <c r="A6539" s="4"/>
      <c r="B6539" s="4"/>
      <c r="D6539" s="4"/>
      <c r="E6539" s="4"/>
      <c r="F6539" s="4"/>
    </row>
    <row r="6540" spans="1:6" x14ac:dyDescent="0.4">
      <c r="A6540" s="4"/>
      <c r="B6540" s="4"/>
      <c r="D6540" s="4"/>
      <c r="E6540" s="4"/>
      <c r="F6540" s="4"/>
    </row>
    <row r="6541" spans="1:6" x14ac:dyDescent="0.4">
      <c r="A6541" s="4"/>
      <c r="B6541" s="4"/>
      <c r="D6541" s="4"/>
      <c r="E6541" s="4"/>
      <c r="F6541" s="4"/>
    </row>
    <row r="6542" spans="1:6" x14ac:dyDescent="0.4">
      <c r="A6542" s="4"/>
      <c r="B6542" s="4"/>
      <c r="D6542" s="4"/>
      <c r="E6542" s="4"/>
      <c r="F6542" s="4"/>
    </row>
    <row r="6543" spans="1:6" x14ac:dyDescent="0.4">
      <c r="A6543" s="4"/>
      <c r="B6543" s="4"/>
      <c r="D6543" s="4"/>
      <c r="E6543" s="4"/>
      <c r="F6543" s="4"/>
    </row>
    <row r="6544" spans="1:6" x14ac:dyDescent="0.4">
      <c r="A6544" s="4"/>
      <c r="B6544" s="4"/>
      <c r="D6544" s="4"/>
      <c r="E6544" s="4"/>
      <c r="F6544" s="4"/>
    </row>
    <row r="6545" spans="1:6" x14ac:dyDescent="0.4">
      <c r="A6545" s="4"/>
      <c r="B6545" s="4"/>
      <c r="D6545" s="4"/>
      <c r="E6545" s="4"/>
      <c r="F6545" s="4"/>
    </row>
    <row r="6546" spans="1:6" x14ac:dyDescent="0.4">
      <c r="A6546" s="4"/>
      <c r="B6546" s="4"/>
      <c r="D6546" s="4"/>
      <c r="E6546" s="4"/>
      <c r="F6546" s="4"/>
    </row>
    <row r="6547" spans="1:6" x14ac:dyDescent="0.4">
      <c r="A6547" s="4"/>
      <c r="B6547" s="4"/>
      <c r="D6547" s="4"/>
      <c r="E6547" s="4"/>
      <c r="F6547" s="4"/>
    </row>
    <row r="6548" spans="1:6" x14ac:dyDescent="0.4">
      <c r="A6548" s="4"/>
      <c r="B6548" s="4"/>
      <c r="D6548" s="4"/>
      <c r="E6548" s="4"/>
      <c r="F6548" s="4"/>
    </row>
    <row r="6549" spans="1:6" x14ac:dyDescent="0.4">
      <c r="A6549" s="4"/>
      <c r="B6549" s="4"/>
      <c r="D6549" s="4"/>
      <c r="E6549" s="4"/>
      <c r="F6549" s="4"/>
    </row>
    <row r="6550" spans="1:6" x14ac:dyDescent="0.4">
      <c r="A6550" s="4"/>
      <c r="B6550" s="4"/>
      <c r="D6550" s="4"/>
      <c r="E6550" s="4"/>
      <c r="F6550" s="4"/>
    </row>
    <row r="6551" spans="1:6" x14ac:dyDescent="0.4">
      <c r="A6551" s="4"/>
      <c r="B6551" s="4"/>
      <c r="D6551" s="4"/>
      <c r="E6551" s="4"/>
      <c r="F6551" s="4"/>
    </row>
    <row r="6552" spans="1:6" x14ac:dyDescent="0.4">
      <c r="A6552" s="4"/>
      <c r="B6552" s="4"/>
      <c r="D6552" s="4"/>
      <c r="E6552" s="4"/>
      <c r="F6552" s="4"/>
    </row>
    <row r="6553" spans="1:6" x14ac:dyDescent="0.4">
      <c r="A6553" s="4"/>
      <c r="B6553" s="4"/>
      <c r="D6553" s="4"/>
      <c r="E6553" s="4"/>
      <c r="F6553" s="4"/>
    </row>
    <row r="6554" spans="1:6" x14ac:dyDescent="0.4">
      <c r="A6554" s="4"/>
      <c r="B6554" s="4"/>
      <c r="D6554" s="4"/>
      <c r="E6554" s="4"/>
      <c r="F6554" s="4"/>
    </row>
    <row r="6555" spans="1:6" x14ac:dyDescent="0.4">
      <c r="A6555" s="4"/>
      <c r="B6555" s="4"/>
      <c r="D6555" s="4"/>
      <c r="E6555" s="4"/>
      <c r="F6555" s="4"/>
    </row>
    <row r="6556" spans="1:6" x14ac:dyDescent="0.4">
      <c r="A6556" s="4"/>
      <c r="B6556" s="4"/>
      <c r="D6556" s="4"/>
      <c r="E6556" s="4"/>
      <c r="F6556" s="4"/>
    </row>
    <row r="6557" spans="1:6" x14ac:dyDescent="0.4">
      <c r="A6557" s="4"/>
      <c r="B6557" s="4"/>
      <c r="D6557" s="4"/>
      <c r="E6557" s="4"/>
      <c r="F6557" s="4"/>
    </row>
    <row r="6558" spans="1:6" x14ac:dyDescent="0.4">
      <c r="A6558" s="4"/>
      <c r="B6558" s="4"/>
      <c r="D6558" s="4"/>
      <c r="E6558" s="4"/>
      <c r="F6558" s="4"/>
    </row>
    <row r="6559" spans="1:6" x14ac:dyDescent="0.4">
      <c r="A6559" s="4"/>
      <c r="B6559" s="4"/>
      <c r="D6559" s="4"/>
      <c r="E6559" s="4"/>
      <c r="F6559" s="4"/>
    </row>
    <row r="6560" spans="1:6" x14ac:dyDescent="0.4">
      <c r="A6560" s="4"/>
      <c r="B6560" s="4"/>
      <c r="D6560" s="4"/>
      <c r="E6560" s="4"/>
      <c r="F6560" s="4"/>
    </row>
    <row r="6561" spans="1:6" x14ac:dyDescent="0.4">
      <c r="A6561" s="4"/>
      <c r="B6561" s="4"/>
      <c r="D6561" s="4"/>
      <c r="E6561" s="4"/>
      <c r="F6561" s="4"/>
    </row>
    <row r="6562" spans="1:6" x14ac:dyDescent="0.4">
      <c r="A6562" s="4"/>
      <c r="B6562" s="4"/>
      <c r="D6562" s="4"/>
      <c r="E6562" s="4"/>
      <c r="F6562" s="4"/>
    </row>
    <row r="6563" spans="1:6" x14ac:dyDescent="0.4">
      <c r="A6563" s="4"/>
      <c r="B6563" s="4"/>
      <c r="D6563" s="4"/>
      <c r="E6563" s="4"/>
      <c r="F6563" s="4"/>
    </row>
    <row r="6564" spans="1:6" x14ac:dyDescent="0.4">
      <c r="A6564" s="4"/>
      <c r="B6564" s="4"/>
      <c r="D6564" s="4"/>
      <c r="E6564" s="4"/>
      <c r="F6564" s="4"/>
    </row>
    <row r="6565" spans="1:6" x14ac:dyDescent="0.4">
      <c r="A6565" s="4"/>
      <c r="B6565" s="4"/>
      <c r="D6565" s="4"/>
      <c r="E6565" s="4"/>
      <c r="F6565" s="4"/>
    </row>
    <row r="6566" spans="1:6" x14ac:dyDescent="0.4">
      <c r="A6566" s="4"/>
      <c r="B6566" s="4"/>
      <c r="D6566" s="4"/>
      <c r="E6566" s="4"/>
      <c r="F6566" s="4"/>
    </row>
    <row r="6567" spans="1:6" x14ac:dyDescent="0.4">
      <c r="A6567" s="4"/>
      <c r="B6567" s="4"/>
      <c r="D6567" s="4"/>
      <c r="E6567" s="4"/>
      <c r="F6567" s="4"/>
    </row>
    <row r="6568" spans="1:6" x14ac:dyDescent="0.4">
      <c r="A6568" s="4"/>
      <c r="B6568" s="4"/>
      <c r="D6568" s="4"/>
      <c r="E6568" s="4"/>
      <c r="F6568" s="4"/>
    </row>
    <row r="6569" spans="1:6" x14ac:dyDescent="0.4">
      <c r="A6569" s="4"/>
      <c r="B6569" s="4"/>
      <c r="D6569" s="4"/>
      <c r="E6569" s="4"/>
      <c r="F6569" s="4"/>
    </row>
    <row r="6570" spans="1:6" x14ac:dyDescent="0.4">
      <c r="A6570" s="4"/>
      <c r="B6570" s="4"/>
      <c r="D6570" s="4"/>
      <c r="E6570" s="4"/>
      <c r="F6570" s="4"/>
    </row>
    <row r="6571" spans="1:6" x14ac:dyDescent="0.4">
      <c r="A6571" s="4"/>
      <c r="B6571" s="4"/>
      <c r="D6571" s="4"/>
      <c r="E6571" s="4"/>
      <c r="F6571" s="4"/>
    </row>
    <row r="6572" spans="1:6" x14ac:dyDescent="0.4">
      <c r="A6572" s="4"/>
      <c r="B6572" s="4"/>
      <c r="D6572" s="4"/>
      <c r="E6572" s="4"/>
      <c r="F6572" s="4"/>
    </row>
    <row r="6573" spans="1:6" x14ac:dyDescent="0.4">
      <c r="A6573" s="4"/>
      <c r="B6573" s="4"/>
      <c r="D6573" s="4"/>
      <c r="E6573" s="4"/>
      <c r="F6573" s="4"/>
    </row>
    <row r="6574" spans="1:6" x14ac:dyDescent="0.4">
      <c r="A6574" s="4"/>
      <c r="B6574" s="4"/>
      <c r="D6574" s="4"/>
      <c r="E6574" s="4"/>
      <c r="F6574" s="4"/>
    </row>
    <row r="6575" spans="1:6" x14ac:dyDescent="0.4">
      <c r="A6575" s="4"/>
      <c r="B6575" s="4"/>
      <c r="D6575" s="4"/>
      <c r="E6575" s="4"/>
      <c r="F6575" s="4"/>
    </row>
    <row r="6576" spans="1:6" x14ac:dyDescent="0.4">
      <c r="A6576" s="4"/>
      <c r="B6576" s="4"/>
      <c r="D6576" s="4"/>
      <c r="E6576" s="4"/>
      <c r="F6576" s="4"/>
    </row>
    <row r="6577" spans="1:6" x14ac:dyDescent="0.4">
      <c r="A6577" s="4"/>
      <c r="B6577" s="4"/>
      <c r="D6577" s="4"/>
      <c r="E6577" s="4"/>
      <c r="F6577" s="4"/>
    </row>
    <row r="6578" spans="1:6" x14ac:dyDescent="0.4">
      <c r="A6578" s="4"/>
      <c r="B6578" s="4"/>
      <c r="D6578" s="4"/>
      <c r="E6578" s="4"/>
      <c r="F6578" s="4"/>
    </row>
    <row r="6579" spans="1:6" x14ac:dyDescent="0.4">
      <c r="A6579" s="4"/>
      <c r="B6579" s="4"/>
      <c r="D6579" s="4"/>
      <c r="E6579" s="4"/>
      <c r="F6579" s="4"/>
    </row>
    <row r="6580" spans="1:6" x14ac:dyDescent="0.4">
      <c r="A6580" s="4"/>
      <c r="B6580" s="4"/>
      <c r="D6580" s="4"/>
      <c r="E6580" s="4"/>
      <c r="F6580" s="4"/>
    </row>
    <row r="6581" spans="1:6" x14ac:dyDescent="0.4">
      <c r="A6581" s="4"/>
      <c r="B6581" s="4"/>
      <c r="D6581" s="4"/>
      <c r="E6581" s="4"/>
      <c r="F6581" s="4"/>
    </row>
    <row r="6582" spans="1:6" x14ac:dyDescent="0.4">
      <c r="A6582" s="4"/>
      <c r="B6582" s="4"/>
      <c r="D6582" s="4"/>
      <c r="E6582" s="4"/>
      <c r="F6582" s="4"/>
    </row>
    <row r="6583" spans="1:6" x14ac:dyDescent="0.4">
      <c r="A6583" s="4"/>
      <c r="B6583" s="4"/>
      <c r="D6583" s="4"/>
      <c r="E6583" s="4"/>
      <c r="F6583" s="4"/>
    </row>
    <row r="6584" spans="1:6" x14ac:dyDescent="0.4">
      <c r="A6584" s="4"/>
      <c r="B6584" s="4"/>
      <c r="D6584" s="4"/>
      <c r="E6584" s="4"/>
      <c r="F6584" s="4"/>
    </row>
    <row r="6585" spans="1:6" x14ac:dyDescent="0.4">
      <c r="A6585" s="4"/>
      <c r="B6585" s="4"/>
      <c r="D6585" s="4"/>
      <c r="E6585" s="4"/>
      <c r="F6585" s="4"/>
    </row>
    <row r="6586" spans="1:6" x14ac:dyDescent="0.4">
      <c r="A6586" s="4"/>
      <c r="B6586" s="4"/>
      <c r="D6586" s="4"/>
      <c r="E6586" s="4"/>
      <c r="F6586" s="4"/>
    </row>
    <row r="6587" spans="1:6" x14ac:dyDescent="0.4">
      <c r="A6587" s="4"/>
      <c r="B6587" s="4"/>
      <c r="D6587" s="4"/>
      <c r="E6587" s="4"/>
      <c r="F6587" s="4"/>
    </row>
    <row r="6588" spans="1:6" x14ac:dyDescent="0.4">
      <c r="A6588" s="4"/>
      <c r="B6588" s="4"/>
      <c r="D6588" s="4"/>
      <c r="E6588" s="4"/>
      <c r="F6588" s="4"/>
    </row>
    <row r="6589" spans="1:6" x14ac:dyDescent="0.4">
      <c r="A6589" s="4"/>
      <c r="B6589" s="4"/>
      <c r="D6589" s="4"/>
      <c r="E6589" s="4"/>
      <c r="F6589" s="4"/>
    </row>
    <row r="6590" spans="1:6" x14ac:dyDescent="0.4">
      <c r="A6590" s="4"/>
      <c r="B6590" s="4"/>
      <c r="D6590" s="4"/>
      <c r="E6590" s="4"/>
      <c r="F6590" s="4"/>
    </row>
    <row r="6591" spans="1:6" x14ac:dyDescent="0.4">
      <c r="A6591" s="4"/>
      <c r="B6591" s="4"/>
      <c r="D6591" s="4"/>
      <c r="E6591" s="4"/>
      <c r="F6591" s="4"/>
    </row>
    <row r="6592" spans="1:6" x14ac:dyDescent="0.4">
      <c r="A6592" s="4"/>
      <c r="B6592" s="4"/>
      <c r="D6592" s="4"/>
      <c r="E6592" s="4"/>
      <c r="F6592" s="4"/>
    </row>
    <row r="6593" spans="1:6" x14ac:dyDescent="0.4">
      <c r="A6593" s="4"/>
      <c r="B6593" s="4"/>
      <c r="D6593" s="4"/>
      <c r="E6593" s="4"/>
      <c r="F6593" s="4"/>
    </row>
    <row r="6594" spans="1:6" x14ac:dyDescent="0.4">
      <c r="A6594" s="4"/>
      <c r="B6594" s="4"/>
      <c r="D6594" s="4"/>
      <c r="E6594" s="4"/>
      <c r="F6594" s="4"/>
    </row>
    <row r="6595" spans="1:6" x14ac:dyDescent="0.4">
      <c r="A6595" s="4"/>
      <c r="B6595" s="4"/>
      <c r="D6595" s="4"/>
      <c r="E6595" s="4"/>
      <c r="F6595" s="4"/>
    </row>
    <row r="6596" spans="1:6" x14ac:dyDescent="0.4">
      <c r="A6596" s="4"/>
      <c r="B6596" s="4"/>
      <c r="D6596" s="4"/>
      <c r="E6596" s="4"/>
      <c r="F6596" s="4"/>
    </row>
    <row r="6597" spans="1:6" x14ac:dyDescent="0.4">
      <c r="A6597" s="4"/>
      <c r="B6597" s="4"/>
      <c r="D6597" s="4"/>
      <c r="E6597" s="4"/>
      <c r="F6597" s="4"/>
    </row>
    <row r="6598" spans="1:6" x14ac:dyDescent="0.4">
      <c r="A6598" s="4"/>
      <c r="B6598" s="4"/>
      <c r="D6598" s="4"/>
      <c r="E6598" s="4"/>
      <c r="F6598" s="4"/>
    </row>
    <row r="6599" spans="1:6" x14ac:dyDescent="0.4">
      <c r="A6599" s="4"/>
      <c r="B6599" s="4"/>
      <c r="D6599" s="4"/>
      <c r="E6599" s="4"/>
      <c r="F6599" s="4"/>
    </row>
    <row r="6600" spans="1:6" x14ac:dyDescent="0.4">
      <c r="A6600" s="4"/>
      <c r="B6600" s="4"/>
      <c r="D6600" s="4"/>
      <c r="E6600" s="4"/>
      <c r="F6600" s="4"/>
    </row>
    <row r="6601" spans="1:6" x14ac:dyDescent="0.4">
      <c r="A6601" s="4"/>
      <c r="B6601" s="4"/>
      <c r="D6601" s="4"/>
      <c r="E6601" s="4"/>
      <c r="F6601" s="4"/>
    </row>
    <row r="6602" spans="1:6" x14ac:dyDescent="0.4">
      <c r="A6602" s="4"/>
      <c r="B6602" s="4"/>
      <c r="D6602" s="4"/>
      <c r="E6602" s="4"/>
      <c r="F6602" s="4"/>
    </row>
    <row r="6603" spans="1:6" x14ac:dyDescent="0.4">
      <c r="A6603" s="4"/>
      <c r="B6603" s="4"/>
      <c r="D6603" s="4"/>
      <c r="E6603" s="4"/>
      <c r="F6603" s="4"/>
    </row>
    <row r="6604" spans="1:6" x14ac:dyDescent="0.4">
      <c r="A6604" s="4"/>
      <c r="B6604" s="4"/>
      <c r="D6604" s="4"/>
      <c r="E6604" s="4"/>
      <c r="F6604" s="4"/>
    </row>
    <row r="6605" spans="1:6" x14ac:dyDescent="0.4">
      <c r="A6605" s="4"/>
      <c r="B6605" s="4"/>
      <c r="D6605" s="4"/>
      <c r="E6605" s="4"/>
      <c r="F6605" s="4"/>
    </row>
    <row r="6606" spans="1:6" x14ac:dyDescent="0.4">
      <c r="A6606" s="4"/>
      <c r="B6606" s="4"/>
      <c r="D6606" s="4"/>
      <c r="E6606" s="4"/>
      <c r="F6606" s="4"/>
    </row>
    <row r="6607" spans="1:6" x14ac:dyDescent="0.4">
      <c r="A6607" s="4"/>
      <c r="B6607" s="4"/>
      <c r="D6607" s="4"/>
      <c r="E6607" s="4"/>
      <c r="F6607" s="4"/>
    </row>
    <row r="6608" spans="1:6" x14ac:dyDescent="0.4">
      <c r="A6608" s="4"/>
      <c r="B6608" s="4"/>
      <c r="D6608" s="4"/>
      <c r="E6608" s="4"/>
      <c r="F6608" s="4"/>
    </row>
    <row r="6609" spans="1:6" x14ac:dyDescent="0.4">
      <c r="A6609" s="4"/>
      <c r="B6609" s="4"/>
      <c r="D6609" s="4"/>
      <c r="E6609" s="4"/>
      <c r="F6609" s="4"/>
    </row>
    <row r="6610" spans="1:6" x14ac:dyDescent="0.4">
      <c r="A6610" s="4"/>
      <c r="B6610" s="4"/>
      <c r="D6610" s="4"/>
      <c r="E6610" s="4"/>
      <c r="F6610" s="4"/>
    </row>
    <row r="6611" spans="1:6" x14ac:dyDescent="0.4">
      <c r="A6611" s="4"/>
      <c r="B6611" s="4"/>
      <c r="D6611" s="4"/>
      <c r="E6611" s="4"/>
      <c r="F6611" s="4"/>
    </row>
    <row r="6612" spans="1:6" x14ac:dyDescent="0.4">
      <c r="A6612" s="4"/>
      <c r="B6612" s="4"/>
      <c r="D6612" s="4"/>
      <c r="E6612" s="4"/>
      <c r="F6612" s="4"/>
    </row>
    <row r="6613" spans="1:6" x14ac:dyDescent="0.4">
      <c r="A6613" s="4"/>
      <c r="B6613" s="4"/>
      <c r="D6613" s="4"/>
      <c r="E6613" s="4"/>
      <c r="F6613" s="4"/>
    </row>
    <row r="6614" spans="1:6" x14ac:dyDescent="0.4">
      <c r="A6614" s="4"/>
      <c r="B6614" s="4"/>
      <c r="D6614" s="4"/>
      <c r="E6614" s="4"/>
      <c r="F6614" s="4"/>
    </row>
    <row r="6615" spans="1:6" x14ac:dyDescent="0.4">
      <c r="A6615" s="4"/>
      <c r="B6615" s="4"/>
      <c r="D6615" s="4"/>
      <c r="E6615" s="4"/>
      <c r="F6615" s="4"/>
    </row>
    <row r="6616" spans="1:6" x14ac:dyDescent="0.4">
      <c r="A6616" s="4"/>
      <c r="B6616" s="4"/>
      <c r="D6616" s="4"/>
      <c r="E6616" s="4"/>
      <c r="F6616" s="4"/>
    </row>
    <row r="6617" spans="1:6" x14ac:dyDescent="0.4">
      <c r="A6617" s="4"/>
      <c r="B6617" s="4"/>
      <c r="D6617" s="4"/>
      <c r="E6617" s="4"/>
      <c r="F6617" s="4"/>
    </row>
    <row r="6618" spans="1:6" x14ac:dyDescent="0.4">
      <c r="A6618" s="4"/>
      <c r="B6618" s="4"/>
      <c r="D6618" s="4"/>
      <c r="E6618" s="4"/>
      <c r="F6618" s="4"/>
    </row>
    <row r="6619" spans="1:6" x14ac:dyDescent="0.4">
      <c r="A6619" s="4"/>
      <c r="B6619" s="4"/>
      <c r="D6619" s="4"/>
      <c r="E6619" s="4"/>
      <c r="F6619" s="4"/>
    </row>
    <row r="6620" spans="1:6" x14ac:dyDescent="0.4">
      <c r="A6620" s="4"/>
      <c r="B6620" s="4"/>
      <c r="D6620" s="4"/>
      <c r="E6620" s="4"/>
      <c r="F6620" s="4"/>
    </row>
    <row r="6621" spans="1:6" x14ac:dyDescent="0.4">
      <c r="A6621" s="4"/>
      <c r="B6621" s="4"/>
      <c r="D6621" s="4"/>
      <c r="E6621" s="4"/>
      <c r="F6621" s="4"/>
    </row>
    <row r="6622" spans="1:6" x14ac:dyDescent="0.4">
      <c r="A6622" s="4"/>
      <c r="B6622" s="4"/>
      <c r="D6622" s="4"/>
      <c r="E6622" s="4"/>
      <c r="F6622" s="4"/>
    </row>
    <row r="6623" spans="1:6" x14ac:dyDescent="0.4">
      <c r="A6623" s="4"/>
      <c r="B6623" s="4"/>
      <c r="D6623" s="4"/>
      <c r="E6623" s="4"/>
      <c r="F6623" s="4"/>
    </row>
    <row r="6624" spans="1:6" x14ac:dyDescent="0.4">
      <c r="A6624" s="4"/>
      <c r="B6624" s="4"/>
      <c r="D6624" s="4"/>
      <c r="E6624" s="4"/>
      <c r="F6624" s="4"/>
    </row>
    <row r="6625" spans="1:6" x14ac:dyDescent="0.4">
      <c r="A6625" s="4"/>
      <c r="B6625" s="4"/>
      <c r="D6625" s="4"/>
      <c r="E6625" s="4"/>
      <c r="F6625" s="4"/>
    </row>
    <row r="6626" spans="1:6" x14ac:dyDescent="0.4">
      <c r="A6626" s="4"/>
      <c r="B6626" s="4"/>
      <c r="D6626" s="4"/>
      <c r="E6626" s="4"/>
      <c r="F6626" s="4"/>
    </row>
    <row r="6627" spans="1:6" x14ac:dyDescent="0.4">
      <c r="A6627" s="4"/>
      <c r="B6627" s="4"/>
      <c r="D6627" s="4"/>
      <c r="E6627" s="4"/>
      <c r="F6627" s="4"/>
    </row>
    <row r="6628" spans="1:6" x14ac:dyDescent="0.4">
      <c r="A6628" s="4"/>
      <c r="B6628" s="4"/>
      <c r="D6628" s="4"/>
      <c r="E6628" s="4"/>
      <c r="F6628" s="4"/>
    </row>
    <row r="6629" spans="1:6" x14ac:dyDescent="0.4">
      <c r="A6629" s="4"/>
      <c r="B6629" s="4"/>
      <c r="D6629" s="4"/>
      <c r="E6629" s="4"/>
      <c r="F6629" s="4"/>
    </row>
    <row r="6630" spans="1:6" x14ac:dyDescent="0.4">
      <c r="A6630" s="4"/>
      <c r="B6630" s="4"/>
      <c r="D6630" s="4"/>
      <c r="E6630" s="4"/>
      <c r="F6630" s="4"/>
    </row>
    <row r="6631" spans="1:6" x14ac:dyDescent="0.4">
      <c r="A6631" s="4"/>
      <c r="B6631" s="4"/>
      <c r="D6631" s="4"/>
      <c r="E6631" s="4"/>
      <c r="F6631" s="4"/>
    </row>
    <row r="6632" spans="1:6" x14ac:dyDescent="0.4">
      <c r="A6632" s="4"/>
      <c r="B6632" s="4"/>
      <c r="D6632" s="4"/>
      <c r="E6632" s="4"/>
      <c r="F6632" s="4"/>
    </row>
    <row r="6633" spans="1:6" x14ac:dyDescent="0.4">
      <c r="A6633" s="4"/>
      <c r="B6633" s="4"/>
      <c r="D6633" s="4"/>
      <c r="E6633" s="4"/>
      <c r="F6633" s="4"/>
    </row>
    <row r="6634" spans="1:6" x14ac:dyDescent="0.4">
      <c r="A6634" s="4"/>
      <c r="B6634" s="4"/>
      <c r="D6634" s="4"/>
      <c r="E6634" s="4"/>
      <c r="F6634" s="4"/>
    </row>
    <row r="6635" spans="1:6" x14ac:dyDescent="0.4">
      <c r="A6635" s="4"/>
      <c r="B6635" s="4"/>
      <c r="D6635" s="4"/>
      <c r="E6635" s="4"/>
      <c r="F6635" s="4"/>
    </row>
    <row r="6636" spans="1:6" x14ac:dyDescent="0.4">
      <c r="A6636" s="4"/>
      <c r="B6636" s="4"/>
      <c r="D6636" s="4"/>
      <c r="E6636" s="4"/>
      <c r="F6636" s="4"/>
    </row>
    <row r="6637" spans="1:6" x14ac:dyDescent="0.4">
      <c r="A6637" s="4"/>
      <c r="B6637" s="4"/>
      <c r="D6637" s="4"/>
      <c r="E6637" s="4"/>
      <c r="F6637" s="4"/>
    </row>
    <row r="6638" spans="1:6" x14ac:dyDescent="0.4">
      <c r="A6638" s="4"/>
      <c r="B6638" s="4"/>
      <c r="D6638" s="4"/>
      <c r="E6638" s="4"/>
      <c r="F6638" s="4"/>
    </row>
    <row r="6639" spans="1:6" x14ac:dyDescent="0.4">
      <c r="A6639" s="4"/>
      <c r="B6639" s="4"/>
      <c r="D6639" s="4"/>
      <c r="E6639" s="4"/>
      <c r="F6639" s="4"/>
    </row>
    <row r="6640" spans="1:6" x14ac:dyDescent="0.4">
      <c r="A6640" s="4"/>
      <c r="B6640" s="4"/>
      <c r="D6640" s="4"/>
      <c r="E6640" s="4"/>
      <c r="F6640" s="4"/>
    </row>
    <row r="6641" spans="1:6" x14ac:dyDescent="0.4">
      <c r="A6641" s="4"/>
      <c r="B6641" s="4"/>
      <c r="D6641" s="4"/>
      <c r="E6641" s="4"/>
      <c r="F6641" s="4"/>
    </row>
    <row r="6642" spans="1:6" x14ac:dyDescent="0.4">
      <c r="A6642" s="4"/>
      <c r="B6642" s="4"/>
      <c r="D6642" s="4"/>
      <c r="E6642" s="4"/>
      <c r="F6642" s="4"/>
    </row>
    <row r="6643" spans="1:6" x14ac:dyDescent="0.4">
      <c r="A6643" s="4"/>
      <c r="B6643" s="4"/>
      <c r="D6643" s="4"/>
      <c r="E6643" s="4"/>
      <c r="F6643" s="4"/>
    </row>
    <row r="6644" spans="1:6" x14ac:dyDescent="0.4">
      <c r="A6644" s="4"/>
      <c r="B6644" s="4"/>
      <c r="D6644" s="4"/>
      <c r="E6644" s="4"/>
      <c r="F6644" s="4"/>
    </row>
    <row r="6645" spans="1:6" x14ac:dyDescent="0.4">
      <c r="A6645" s="4"/>
      <c r="B6645" s="4"/>
      <c r="D6645" s="4"/>
      <c r="E6645" s="4"/>
      <c r="F6645" s="4"/>
    </row>
    <row r="6646" spans="1:6" x14ac:dyDescent="0.4">
      <c r="A6646" s="4"/>
      <c r="B6646" s="4"/>
      <c r="D6646" s="4"/>
      <c r="E6646" s="4"/>
      <c r="F6646" s="4"/>
    </row>
    <row r="6647" spans="1:6" x14ac:dyDescent="0.4">
      <c r="A6647" s="4"/>
      <c r="B6647" s="4"/>
      <c r="D6647" s="4"/>
      <c r="E6647" s="4"/>
      <c r="F6647" s="4"/>
    </row>
    <row r="6648" spans="1:6" x14ac:dyDescent="0.4">
      <c r="A6648" s="4"/>
      <c r="B6648" s="4"/>
      <c r="D6648" s="4"/>
      <c r="E6648" s="4"/>
      <c r="F6648" s="4"/>
    </row>
    <row r="6649" spans="1:6" x14ac:dyDescent="0.4">
      <c r="A6649" s="4"/>
      <c r="B6649" s="4"/>
      <c r="D6649" s="4"/>
      <c r="E6649" s="4"/>
      <c r="F6649" s="4"/>
    </row>
    <row r="6650" spans="1:6" x14ac:dyDescent="0.4">
      <c r="A6650" s="4"/>
      <c r="B6650" s="4"/>
      <c r="D6650" s="4"/>
      <c r="E6650" s="4"/>
      <c r="F6650" s="4"/>
    </row>
    <row r="6651" spans="1:6" x14ac:dyDescent="0.4">
      <c r="A6651" s="4"/>
      <c r="B6651" s="4"/>
      <c r="D6651" s="4"/>
      <c r="E6651" s="4"/>
      <c r="F6651" s="4"/>
    </row>
    <row r="6652" spans="1:6" x14ac:dyDescent="0.4">
      <c r="A6652" s="4"/>
      <c r="B6652" s="4"/>
      <c r="D6652" s="4"/>
      <c r="E6652" s="4"/>
      <c r="F6652" s="4"/>
    </row>
    <row r="6653" spans="1:6" x14ac:dyDescent="0.4">
      <c r="A6653" s="4"/>
      <c r="B6653" s="4"/>
      <c r="D6653" s="4"/>
      <c r="E6653" s="4"/>
      <c r="F6653" s="4"/>
    </row>
    <row r="6654" spans="1:6" x14ac:dyDescent="0.4">
      <c r="A6654" s="4"/>
      <c r="B6654" s="4"/>
      <c r="D6654" s="4"/>
      <c r="E6654" s="4"/>
      <c r="F6654" s="4"/>
    </row>
    <row r="6655" spans="1:6" x14ac:dyDescent="0.4">
      <c r="A6655" s="4"/>
      <c r="B6655" s="4"/>
      <c r="D6655" s="4"/>
      <c r="E6655" s="4"/>
      <c r="F6655" s="4"/>
    </row>
    <row r="6656" spans="1:6" x14ac:dyDescent="0.4">
      <c r="A6656" s="4"/>
      <c r="B6656" s="4"/>
      <c r="D6656" s="4"/>
      <c r="E6656" s="4"/>
      <c r="F6656" s="4"/>
    </row>
    <row r="6657" spans="1:6" x14ac:dyDescent="0.4">
      <c r="A6657" s="4"/>
      <c r="B6657" s="4"/>
      <c r="D6657" s="4"/>
      <c r="E6657" s="4"/>
      <c r="F6657" s="4"/>
    </row>
    <row r="6658" spans="1:6" x14ac:dyDescent="0.4">
      <c r="A6658" s="4"/>
      <c r="B6658" s="4"/>
      <c r="D6658" s="4"/>
      <c r="E6658" s="4"/>
      <c r="F6658" s="4"/>
    </row>
    <row r="6659" spans="1:6" x14ac:dyDescent="0.4">
      <c r="A6659" s="4"/>
      <c r="B6659" s="4"/>
      <c r="D6659" s="4"/>
      <c r="E6659" s="4"/>
      <c r="F6659" s="4"/>
    </row>
    <row r="6660" spans="1:6" x14ac:dyDescent="0.4">
      <c r="A6660" s="4"/>
      <c r="B6660" s="4"/>
      <c r="D6660" s="4"/>
      <c r="E6660" s="4"/>
      <c r="F6660" s="4"/>
    </row>
    <row r="6661" spans="1:6" x14ac:dyDescent="0.4">
      <c r="A6661" s="4"/>
      <c r="B6661" s="4"/>
      <c r="D6661" s="4"/>
      <c r="E6661" s="4"/>
      <c r="F6661" s="4"/>
    </row>
    <row r="6662" spans="1:6" x14ac:dyDescent="0.4">
      <c r="A6662" s="4"/>
      <c r="B6662" s="4"/>
      <c r="D6662" s="4"/>
      <c r="E6662" s="4"/>
      <c r="F6662" s="4"/>
    </row>
    <row r="6663" spans="1:6" x14ac:dyDescent="0.4">
      <c r="A6663" s="4"/>
      <c r="B6663" s="4"/>
      <c r="D6663" s="4"/>
      <c r="E6663" s="4"/>
      <c r="F6663" s="4"/>
    </row>
    <row r="6664" spans="1:6" x14ac:dyDescent="0.4">
      <c r="A6664" s="4"/>
      <c r="B6664" s="4"/>
      <c r="D6664" s="4"/>
      <c r="E6664" s="4"/>
      <c r="F6664" s="4"/>
    </row>
    <row r="6665" spans="1:6" x14ac:dyDescent="0.4">
      <c r="A6665" s="4"/>
      <c r="B6665" s="4"/>
      <c r="D6665" s="4"/>
      <c r="E6665" s="4"/>
      <c r="F6665" s="4"/>
    </row>
    <row r="6666" spans="1:6" x14ac:dyDescent="0.4">
      <c r="A6666" s="4"/>
      <c r="B6666" s="4"/>
      <c r="D6666" s="4"/>
      <c r="E6666" s="4"/>
      <c r="F6666" s="4"/>
    </row>
    <row r="6667" spans="1:6" x14ac:dyDescent="0.4">
      <c r="A6667" s="4"/>
      <c r="B6667" s="4"/>
      <c r="D6667" s="4"/>
      <c r="E6667" s="4"/>
      <c r="F6667" s="4"/>
    </row>
    <row r="6668" spans="1:6" x14ac:dyDescent="0.4">
      <c r="A6668" s="4"/>
      <c r="B6668" s="4"/>
      <c r="D6668" s="4"/>
      <c r="E6668" s="4"/>
      <c r="F6668" s="4"/>
    </row>
    <row r="6669" spans="1:6" x14ac:dyDescent="0.4">
      <c r="A6669" s="4"/>
      <c r="B6669" s="4"/>
      <c r="D6669" s="4"/>
      <c r="E6669" s="4"/>
      <c r="F6669" s="4"/>
    </row>
    <row r="6670" spans="1:6" x14ac:dyDescent="0.4">
      <c r="A6670" s="4"/>
      <c r="B6670" s="4"/>
      <c r="D6670" s="4"/>
      <c r="E6670" s="4"/>
      <c r="F6670" s="4"/>
    </row>
    <row r="6671" spans="1:6" x14ac:dyDescent="0.4">
      <c r="A6671" s="4"/>
      <c r="B6671" s="4"/>
      <c r="D6671" s="4"/>
      <c r="E6671" s="4"/>
      <c r="F6671" s="4"/>
    </row>
    <row r="6672" spans="1:6" x14ac:dyDescent="0.4">
      <c r="A6672" s="4"/>
      <c r="B6672" s="4"/>
      <c r="D6672" s="4"/>
      <c r="E6672" s="4"/>
      <c r="F6672" s="4"/>
    </row>
    <row r="6673" spans="1:6" x14ac:dyDescent="0.4">
      <c r="A6673" s="4"/>
      <c r="B6673" s="4"/>
      <c r="D6673" s="4"/>
      <c r="E6673" s="4"/>
      <c r="F6673" s="4"/>
    </row>
    <row r="6674" spans="1:6" x14ac:dyDescent="0.4">
      <c r="A6674" s="4"/>
      <c r="B6674" s="4"/>
      <c r="D6674" s="4"/>
      <c r="E6674" s="4"/>
      <c r="F6674" s="4"/>
    </row>
    <row r="6675" spans="1:6" x14ac:dyDescent="0.4">
      <c r="A6675" s="4"/>
      <c r="B6675" s="4"/>
      <c r="D6675" s="4"/>
      <c r="E6675" s="4"/>
      <c r="F6675" s="4"/>
    </row>
    <row r="6676" spans="1:6" x14ac:dyDescent="0.4">
      <c r="A6676" s="4"/>
      <c r="B6676" s="4"/>
      <c r="D6676" s="4"/>
      <c r="E6676" s="4"/>
      <c r="F6676" s="4"/>
    </row>
    <row r="6677" spans="1:6" x14ac:dyDescent="0.4">
      <c r="A6677" s="4"/>
      <c r="B6677" s="4"/>
      <c r="D6677" s="4"/>
      <c r="E6677" s="4"/>
      <c r="F6677" s="4"/>
    </row>
    <row r="6678" spans="1:6" x14ac:dyDescent="0.4">
      <c r="A6678" s="4"/>
      <c r="B6678" s="4"/>
      <c r="D6678" s="4"/>
      <c r="E6678" s="4"/>
      <c r="F6678" s="4"/>
    </row>
    <row r="6679" spans="1:6" x14ac:dyDescent="0.4">
      <c r="A6679" s="4"/>
      <c r="B6679" s="4"/>
      <c r="D6679" s="4"/>
      <c r="E6679" s="4"/>
      <c r="F6679" s="4"/>
    </row>
    <row r="6680" spans="1:6" x14ac:dyDescent="0.4">
      <c r="A6680" s="4"/>
      <c r="B6680" s="4"/>
      <c r="D6680" s="4"/>
      <c r="E6680" s="4"/>
      <c r="F6680" s="4"/>
    </row>
    <row r="6681" spans="1:6" x14ac:dyDescent="0.4">
      <c r="A6681" s="4"/>
      <c r="B6681" s="4"/>
      <c r="D6681" s="4"/>
      <c r="E6681" s="4"/>
      <c r="F6681" s="4"/>
    </row>
    <row r="6682" spans="1:6" x14ac:dyDescent="0.4">
      <c r="A6682" s="4"/>
      <c r="B6682" s="4"/>
      <c r="D6682" s="4"/>
      <c r="E6682" s="4"/>
      <c r="F6682" s="4"/>
    </row>
    <row r="6683" spans="1:6" x14ac:dyDescent="0.4">
      <c r="A6683" s="4"/>
      <c r="B6683" s="4"/>
      <c r="D6683" s="4"/>
      <c r="E6683" s="4"/>
      <c r="F6683" s="4"/>
    </row>
    <row r="6684" spans="1:6" x14ac:dyDescent="0.4">
      <c r="A6684" s="4"/>
      <c r="B6684" s="4"/>
      <c r="D6684" s="4"/>
      <c r="E6684" s="4"/>
      <c r="F6684" s="4"/>
    </row>
    <row r="6685" spans="1:6" x14ac:dyDescent="0.4">
      <c r="A6685" s="4"/>
      <c r="B6685" s="4"/>
      <c r="D6685" s="4"/>
      <c r="E6685" s="4"/>
      <c r="F6685" s="4"/>
    </row>
    <row r="6686" spans="1:6" x14ac:dyDescent="0.4">
      <c r="A6686" s="4"/>
      <c r="B6686" s="4"/>
      <c r="D6686" s="4"/>
      <c r="E6686" s="4"/>
      <c r="F6686" s="4"/>
    </row>
    <row r="6687" spans="1:6" x14ac:dyDescent="0.4">
      <c r="A6687" s="4"/>
      <c r="B6687" s="4"/>
      <c r="D6687" s="4"/>
      <c r="E6687" s="4"/>
      <c r="F6687" s="4"/>
    </row>
    <row r="6688" spans="1:6" x14ac:dyDescent="0.4">
      <c r="A6688" s="4"/>
      <c r="B6688" s="4"/>
      <c r="D6688" s="4"/>
      <c r="E6688" s="4"/>
      <c r="F6688" s="4"/>
    </row>
    <row r="6689" spans="1:6" x14ac:dyDescent="0.4">
      <c r="A6689" s="4"/>
      <c r="B6689" s="4"/>
      <c r="D6689" s="4"/>
      <c r="E6689" s="4"/>
      <c r="F6689" s="4"/>
    </row>
    <row r="6690" spans="1:6" x14ac:dyDescent="0.4">
      <c r="A6690" s="4"/>
      <c r="B6690" s="4"/>
      <c r="D6690" s="4"/>
      <c r="E6690" s="4"/>
      <c r="F6690" s="4"/>
    </row>
    <row r="6691" spans="1:6" x14ac:dyDescent="0.4">
      <c r="A6691" s="4"/>
      <c r="B6691" s="4"/>
      <c r="D6691" s="4"/>
      <c r="E6691" s="4"/>
      <c r="F6691" s="4"/>
    </row>
    <row r="6692" spans="1:6" x14ac:dyDescent="0.4">
      <c r="A6692" s="4"/>
      <c r="B6692" s="4"/>
      <c r="D6692" s="4"/>
      <c r="E6692" s="4"/>
      <c r="F6692" s="4"/>
    </row>
    <row r="6693" spans="1:6" x14ac:dyDescent="0.4">
      <c r="A6693" s="4"/>
      <c r="B6693" s="4"/>
      <c r="D6693" s="4"/>
      <c r="E6693" s="4"/>
      <c r="F6693" s="4"/>
    </row>
    <row r="6694" spans="1:6" x14ac:dyDescent="0.4">
      <c r="A6694" s="4"/>
      <c r="B6694" s="4"/>
      <c r="D6694" s="4"/>
      <c r="E6694" s="4"/>
      <c r="F6694" s="4"/>
    </row>
    <row r="6695" spans="1:6" x14ac:dyDescent="0.4">
      <c r="A6695" s="4"/>
      <c r="B6695" s="4"/>
      <c r="D6695" s="4"/>
      <c r="E6695" s="4"/>
      <c r="F6695" s="4"/>
    </row>
    <row r="6696" spans="1:6" x14ac:dyDescent="0.4">
      <c r="A6696" s="4"/>
      <c r="B6696" s="4"/>
      <c r="D6696" s="4"/>
      <c r="E6696" s="4"/>
      <c r="F6696" s="4"/>
    </row>
    <row r="6697" spans="1:6" x14ac:dyDescent="0.4">
      <c r="A6697" s="4"/>
      <c r="B6697" s="4"/>
      <c r="D6697" s="4"/>
      <c r="E6697" s="4"/>
      <c r="F6697" s="4"/>
    </row>
    <row r="6698" spans="1:6" x14ac:dyDescent="0.4">
      <c r="A6698" s="4"/>
      <c r="B6698" s="4"/>
      <c r="D6698" s="4"/>
      <c r="E6698" s="4"/>
      <c r="F6698" s="4"/>
    </row>
    <row r="6699" spans="1:6" x14ac:dyDescent="0.4">
      <c r="A6699" s="4"/>
      <c r="B6699" s="4"/>
      <c r="D6699" s="4"/>
      <c r="E6699" s="4"/>
      <c r="F6699" s="4"/>
    </row>
    <row r="6700" spans="1:6" x14ac:dyDescent="0.4">
      <c r="A6700" s="4"/>
      <c r="B6700" s="4"/>
      <c r="D6700" s="4"/>
      <c r="E6700" s="4"/>
      <c r="F6700" s="4"/>
    </row>
    <row r="6701" spans="1:6" x14ac:dyDescent="0.4">
      <c r="A6701" s="4"/>
      <c r="B6701" s="4"/>
      <c r="D6701" s="4"/>
      <c r="E6701" s="4"/>
      <c r="F6701" s="4"/>
    </row>
    <row r="6702" spans="1:6" x14ac:dyDescent="0.4">
      <c r="A6702" s="4"/>
      <c r="B6702" s="4"/>
      <c r="D6702" s="4"/>
      <c r="E6702" s="4"/>
      <c r="F6702" s="4"/>
    </row>
    <row r="6703" spans="1:6" x14ac:dyDescent="0.4">
      <c r="A6703" s="4"/>
      <c r="B6703" s="4"/>
      <c r="D6703" s="4"/>
      <c r="E6703" s="4"/>
      <c r="F6703" s="4"/>
    </row>
    <row r="6704" spans="1:6" x14ac:dyDescent="0.4">
      <c r="A6704" s="4"/>
      <c r="B6704" s="4"/>
      <c r="D6704" s="4"/>
      <c r="E6704" s="4"/>
      <c r="F6704" s="4"/>
    </row>
    <row r="6705" spans="1:6" x14ac:dyDescent="0.4">
      <c r="A6705" s="4"/>
      <c r="B6705" s="4"/>
      <c r="D6705" s="4"/>
      <c r="E6705" s="4"/>
      <c r="F6705" s="4"/>
    </row>
    <row r="6706" spans="1:6" x14ac:dyDescent="0.4">
      <c r="A6706" s="4"/>
      <c r="B6706" s="4"/>
      <c r="D6706" s="4"/>
      <c r="E6706" s="4"/>
      <c r="F6706" s="4"/>
    </row>
    <row r="6707" spans="1:6" x14ac:dyDescent="0.4">
      <c r="A6707" s="4"/>
      <c r="B6707" s="4"/>
      <c r="D6707" s="4"/>
      <c r="E6707" s="4"/>
      <c r="F6707" s="4"/>
    </row>
    <row r="6708" spans="1:6" x14ac:dyDescent="0.4">
      <c r="A6708" s="4"/>
      <c r="B6708" s="4"/>
      <c r="D6708" s="4"/>
      <c r="E6708" s="4"/>
      <c r="F6708" s="4"/>
    </row>
    <row r="6709" spans="1:6" x14ac:dyDescent="0.4">
      <c r="A6709" s="4"/>
      <c r="B6709" s="4"/>
      <c r="D6709" s="4"/>
      <c r="E6709" s="4"/>
      <c r="F6709" s="4"/>
    </row>
    <row r="6710" spans="1:6" x14ac:dyDescent="0.4">
      <c r="A6710" s="4"/>
      <c r="B6710" s="4"/>
      <c r="D6710" s="4"/>
      <c r="E6710" s="4"/>
      <c r="F6710" s="4"/>
    </row>
    <row r="6711" spans="1:6" x14ac:dyDescent="0.4">
      <c r="A6711" s="4"/>
      <c r="B6711" s="4"/>
      <c r="D6711" s="4"/>
      <c r="E6711" s="4"/>
      <c r="F6711" s="4"/>
    </row>
    <row r="6712" spans="1:6" x14ac:dyDescent="0.4">
      <c r="A6712" s="4"/>
      <c r="B6712" s="4"/>
      <c r="D6712" s="4"/>
      <c r="E6712" s="4"/>
      <c r="F6712" s="4"/>
    </row>
    <row r="6713" spans="1:6" x14ac:dyDescent="0.4">
      <c r="A6713" s="4"/>
      <c r="B6713" s="4"/>
      <c r="D6713" s="4"/>
      <c r="E6713" s="4"/>
      <c r="F6713" s="4"/>
    </row>
    <row r="6714" spans="1:6" x14ac:dyDescent="0.4">
      <c r="A6714" s="4"/>
      <c r="B6714" s="4"/>
      <c r="D6714" s="4"/>
      <c r="E6714" s="4"/>
      <c r="F6714" s="4"/>
    </row>
    <row r="6715" spans="1:6" x14ac:dyDescent="0.4">
      <c r="A6715" s="4"/>
      <c r="B6715" s="4"/>
      <c r="D6715" s="4"/>
      <c r="E6715" s="4"/>
      <c r="F6715" s="4"/>
    </row>
    <row r="6716" spans="1:6" x14ac:dyDescent="0.4">
      <c r="A6716" s="4"/>
      <c r="B6716" s="4"/>
      <c r="D6716" s="4"/>
      <c r="E6716" s="4"/>
      <c r="F6716" s="4"/>
    </row>
    <row r="6717" spans="1:6" x14ac:dyDescent="0.4">
      <c r="A6717" s="4"/>
      <c r="B6717" s="4"/>
      <c r="D6717" s="4"/>
      <c r="E6717" s="4"/>
      <c r="F6717" s="4"/>
    </row>
    <row r="6718" spans="1:6" x14ac:dyDescent="0.4">
      <c r="A6718" s="4"/>
      <c r="B6718" s="4"/>
      <c r="D6718" s="4"/>
      <c r="E6718" s="4"/>
      <c r="F6718" s="4"/>
    </row>
    <row r="6719" spans="1:6" x14ac:dyDescent="0.4">
      <c r="A6719" s="4"/>
      <c r="B6719" s="4"/>
      <c r="D6719" s="4"/>
      <c r="E6719" s="4"/>
      <c r="F6719" s="4"/>
    </row>
    <row r="6720" spans="1:6" x14ac:dyDescent="0.4">
      <c r="A6720" s="4"/>
      <c r="B6720" s="4"/>
      <c r="D6720" s="4"/>
      <c r="E6720" s="4"/>
      <c r="F6720" s="4"/>
    </row>
    <row r="6721" spans="1:6" x14ac:dyDescent="0.4">
      <c r="A6721" s="4"/>
      <c r="B6721" s="4"/>
      <c r="D6721" s="4"/>
      <c r="E6721" s="4"/>
      <c r="F6721" s="4"/>
    </row>
    <row r="6722" spans="1:6" x14ac:dyDescent="0.4">
      <c r="A6722" s="4"/>
      <c r="B6722" s="4"/>
      <c r="D6722" s="4"/>
      <c r="E6722" s="4"/>
      <c r="F6722" s="4"/>
    </row>
    <row r="6723" spans="1:6" x14ac:dyDescent="0.4">
      <c r="A6723" s="4"/>
      <c r="B6723" s="4"/>
      <c r="D6723" s="4"/>
      <c r="E6723" s="4"/>
      <c r="F6723" s="4"/>
    </row>
    <row r="6724" spans="1:6" x14ac:dyDescent="0.4">
      <c r="A6724" s="4"/>
      <c r="B6724" s="4"/>
      <c r="D6724" s="4"/>
      <c r="E6724" s="4"/>
      <c r="F6724" s="4"/>
    </row>
    <row r="6725" spans="1:6" x14ac:dyDescent="0.4">
      <c r="A6725" s="4"/>
      <c r="B6725" s="4"/>
      <c r="D6725" s="4"/>
      <c r="E6725" s="4"/>
      <c r="F6725" s="4"/>
    </row>
    <row r="6726" spans="1:6" x14ac:dyDescent="0.4">
      <c r="A6726" s="4"/>
      <c r="B6726" s="4"/>
      <c r="D6726" s="4"/>
      <c r="E6726" s="4"/>
      <c r="F6726" s="4"/>
    </row>
    <row r="6727" spans="1:6" x14ac:dyDescent="0.4">
      <c r="A6727" s="4"/>
      <c r="B6727" s="4"/>
      <c r="D6727" s="4"/>
      <c r="E6727" s="4"/>
      <c r="F6727" s="4"/>
    </row>
    <row r="6728" spans="1:6" x14ac:dyDescent="0.4">
      <c r="A6728" s="4"/>
      <c r="B6728" s="4"/>
      <c r="D6728" s="4"/>
      <c r="E6728" s="4"/>
      <c r="F6728" s="4"/>
    </row>
    <row r="6729" spans="1:6" x14ac:dyDescent="0.4">
      <c r="A6729" s="4"/>
      <c r="B6729" s="4"/>
      <c r="D6729" s="4"/>
      <c r="E6729" s="4"/>
      <c r="F6729" s="4"/>
    </row>
    <row r="6730" spans="1:6" x14ac:dyDescent="0.4">
      <c r="A6730" s="4"/>
      <c r="B6730" s="4"/>
      <c r="D6730" s="4"/>
      <c r="E6730" s="4"/>
      <c r="F6730" s="4"/>
    </row>
    <row r="6731" spans="1:6" x14ac:dyDescent="0.4">
      <c r="A6731" s="4"/>
      <c r="B6731" s="4"/>
      <c r="D6731" s="4"/>
      <c r="E6731" s="4"/>
      <c r="F6731" s="4"/>
    </row>
    <row r="6732" spans="1:6" x14ac:dyDescent="0.4">
      <c r="A6732" s="4"/>
      <c r="B6732" s="4"/>
      <c r="D6732" s="4"/>
      <c r="E6732" s="4"/>
      <c r="F6732" s="4"/>
    </row>
    <row r="6733" spans="1:6" x14ac:dyDescent="0.4">
      <c r="A6733" s="4"/>
      <c r="B6733" s="4"/>
      <c r="D6733" s="4"/>
      <c r="E6733" s="4"/>
      <c r="F6733" s="4"/>
    </row>
    <row r="6734" spans="1:6" x14ac:dyDescent="0.4">
      <c r="A6734" s="4"/>
      <c r="B6734" s="4"/>
      <c r="D6734" s="4"/>
      <c r="E6734" s="4"/>
      <c r="F6734" s="4"/>
    </row>
    <row r="6735" spans="1:6" x14ac:dyDescent="0.4">
      <c r="A6735" s="4"/>
      <c r="B6735" s="4"/>
      <c r="D6735" s="4"/>
      <c r="E6735" s="4"/>
      <c r="F6735" s="4"/>
    </row>
    <row r="6736" spans="1:6" x14ac:dyDescent="0.4">
      <c r="A6736" s="4"/>
      <c r="B6736" s="4"/>
      <c r="D6736" s="4"/>
      <c r="E6736" s="4"/>
      <c r="F6736" s="4"/>
    </row>
    <row r="6737" spans="1:6" x14ac:dyDescent="0.4">
      <c r="A6737" s="4"/>
      <c r="B6737" s="4"/>
      <c r="D6737" s="4"/>
      <c r="E6737" s="4"/>
      <c r="F6737" s="4"/>
    </row>
    <row r="6738" spans="1:6" x14ac:dyDescent="0.4">
      <c r="A6738" s="4"/>
      <c r="B6738" s="4"/>
      <c r="D6738" s="4"/>
      <c r="E6738" s="4"/>
      <c r="F6738" s="4"/>
    </row>
    <row r="6739" spans="1:6" x14ac:dyDescent="0.4">
      <c r="A6739" s="4"/>
      <c r="B6739" s="4"/>
      <c r="D6739" s="4"/>
      <c r="E6739" s="4"/>
      <c r="F6739" s="4"/>
    </row>
    <row r="6740" spans="1:6" x14ac:dyDescent="0.4">
      <c r="A6740" s="4"/>
      <c r="B6740" s="4"/>
      <c r="D6740" s="4"/>
      <c r="E6740" s="4"/>
      <c r="F6740" s="4"/>
    </row>
    <row r="6741" spans="1:6" x14ac:dyDescent="0.4">
      <c r="A6741" s="4"/>
      <c r="B6741" s="4"/>
      <c r="D6741" s="4"/>
      <c r="E6741" s="4"/>
      <c r="F6741" s="4"/>
    </row>
    <row r="6742" spans="1:6" x14ac:dyDescent="0.4">
      <c r="A6742" s="4"/>
      <c r="B6742" s="4"/>
      <c r="D6742" s="4"/>
      <c r="E6742" s="4"/>
      <c r="F6742" s="4"/>
    </row>
    <row r="6743" spans="1:6" x14ac:dyDescent="0.4">
      <c r="A6743" s="4"/>
      <c r="B6743" s="4"/>
      <c r="D6743" s="4"/>
      <c r="E6743" s="4"/>
      <c r="F6743" s="4"/>
    </row>
    <row r="6744" spans="1:6" x14ac:dyDescent="0.4">
      <c r="A6744" s="4"/>
      <c r="B6744" s="4"/>
      <c r="D6744" s="4"/>
      <c r="E6744" s="4"/>
      <c r="F6744" s="4"/>
    </row>
    <row r="6745" spans="1:6" x14ac:dyDescent="0.4">
      <c r="A6745" s="4"/>
      <c r="B6745" s="4"/>
      <c r="D6745" s="4"/>
      <c r="E6745" s="4"/>
      <c r="F6745" s="4"/>
    </row>
    <row r="6746" spans="1:6" x14ac:dyDescent="0.4">
      <c r="A6746" s="4"/>
      <c r="B6746" s="4"/>
      <c r="D6746" s="4"/>
      <c r="E6746" s="4"/>
      <c r="F6746" s="4"/>
    </row>
    <row r="6747" spans="1:6" x14ac:dyDescent="0.4">
      <c r="A6747" s="4"/>
      <c r="B6747" s="4"/>
      <c r="D6747" s="4"/>
      <c r="E6747" s="4"/>
      <c r="F6747" s="4"/>
    </row>
    <row r="6748" spans="1:6" x14ac:dyDescent="0.4">
      <c r="A6748" s="4"/>
      <c r="B6748" s="4"/>
      <c r="D6748" s="4"/>
      <c r="E6748" s="4"/>
      <c r="F6748" s="4"/>
    </row>
    <row r="6749" spans="1:6" x14ac:dyDescent="0.4">
      <c r="A6749" s="4"/>
      <c r="B6749" s="4"/>
      <c r="D6749" s="4"/>
      <c r="E6749" s="4"/>
      <c r="F6749" s="4"/>
    </row>
    <row r="6750" spans="1:6" x14ac:dyDescent="0.4">
      <c r="A6750" s="4"/>
      <c r="B6750" s="4"/>
      <c r="D6750" s="4"/>
      <c r="E6750" s="4"/>
      <c r="F6750" s="4"/>
    </row>
    <row r="6751" spans="1:6" x14ac:dyDescent="0.4">
      <c r="A6751" s="4"/>
      <c r="B6751" s="4"/>
      <c r="D6751" s="4"/>
      <c r="E6751" s="4"/>
      <c r="F6751" s="4"/>
    </row>
    <row r="6752" spans="1:6" x14ac:dyDescent="0.4">
      <c r="A6752" s="4"/>
      <c r="B6752" s="4"/>
      <c r="D6752" s="4"/>
      <c r="E6752" s="4"/>
      <c r="F6752" s="4"/>
    </row>
    <row r="6753" spans="1:6" x14ac:dyDescent="0.4">
      <c r="A6753" s="4"/>
      <c r="B6753" s="4"/>
      <c r="D6753" s="4"/>
      <c r="E6753" s="4"/>
      <c r="F6753" s="4"/>
    </row>
    <row r="6754" spans="1:6" x14ac:dyDescent="0.4">
      <c r="A6754" s="4"/>
      <c r="B6754" s="4"/>
      <c r="D6754" s="4"/>
      <c r="E6754" s="4"/>
      <c r="F6754" s="4"/>
    </row>
    <row r="6755" spans="1:6" x14ac:dyDescent="0.4">
      <c r="A6755" s="4"/>
      <c r="B6755" s="4"/>
      <c r="D6755" s="4"/>
      <c r="E6755" s="4"/>
      <c r="F6755" s="4"/>
    </row>
    <row r="6756" spans="1:6" x14ac:dyDescent="0.4">
      <c r="A6756" s="4"/>
      <c r="B6756" s="4"/>
      <c r="D6756" s="4"/>
      <c r="E6756" s="4"/>
      <c r="F6756" s="4"/>
    </row>
    <row r="6757" spans="1:6" x14ac:dyDescent="0.4">
      <c r="A6757" s="4"/>
      <c r="B6757" s="4"/>
      <c r="D6757" s="4"/>
      <c r="E6757" s="4"/>
      <c r="F6757" s="4"/>
    </row>
    <row r="6758" spans="1:6" x14ac:dyDescent="0.4">
      <c r="A6758" s="4"/>
      <c r="B6758" s="4"/>
      <c r="D6758" s="4"/>
      <c r="E6758" s="4"/>
      <c r="F6758" s="4"/>
    </row>
    <row r="6759" spans="1:6" x14ac:dyDescent="0.4">
      <c r="A6759" s="4"/>
      <c r="B6759" s="4"/>
      <c r="D6759" s="4"/>
      <c r="E6759" s="4"/>
      <c r="F6759" s="4"/>
    </row>
    <row r="6760" spans="1:6" x14ac:dyDescent="0.4">
      <c r="A6760" s="4"/>
      <c r="B6760" s="4"/>
      <c r="D6760" s="4"/>
      <c r="E6760" s="4"/>
      <c r="F6760" s="4"/>
    </row>
    <row r="6761" spans="1:6" x14ac:dyDescent="0.4">
      <c r="A6761" s="4"/>
      <c r="B6761" s="4"/>
      <c r="D6761" s="4"/>
      <c r="E6761" s="4"/>
      <c r="F6761" s="4"/>
    </row>
    <row r="6762" spans="1:6" x14ac:dyDescent="0.4">
      <c r="A6762" s="4"/>
      <c r="B6762" s="4"/>
      <c r="D6762" s="4"/>
      <c r="E6762" s="4"/>
      <c r="F6762" s="4"/>
    </row>
    <row r="6763" spans="1:6" x14ac:dyDescent="0.4">
      <c r="A6763" s="4"/>
      <c r="B6763" s="4"/>
      <c r="D6763" s="4"/>
      <c r="E6763" s="4"/>
      <c r="F6763" s="4"/>
    </row>
    <row r="6764" spans="1:6" x14ac:dyDescent="0.4">
      <c r="A6764" s="4"/>
      <c r="B6764" s="4"/>
      <c r="D6764" s="4"/>
      <c r="E6764" s="4"/>
      <c r="F6764" s="4"/>
    </row>
    <row r="6765" spans="1:6" x14ac:dyDescent="0.4">
      <c r="A6765" s="4"/>
      <c r="B6765" s="4"/>
      <c r="D6765" s="4"/>
      <c r="E6765" s="4"/>
      <c r="F6765" s="4"/>
    </row>
    <row r="6766" spans="1:6" x14ac:dyDescent="0.4">
      <c r="A6766" s="4"/>
      <c r="B6766" s="4"/>
      <c r="D6766" s="4"/>
      <c r="E6766" s="4"/>
      <c r="F6766" s="4"/>
    </row>
    <row r="6767" spans="1:6" x14ac:dyDescent="0.4">
      <c r="A6767" s="4"/>
      <c r="B6767" s="4"/>
      <c r="D6767" s="4"/>
      <c r="E6767" s="4"/>
      <c r="F6767" s="4"/>
    </row>
    <row r="6768" spans="1:6" x14ac:dyDescent="0.4">
      <c r="A6768" s="4"/>
      <c r="B6768" s="4"/>
      <c r="D6768" s="4"/>
      <c r="E6768" s="4"/>
      <c r="F6768" s="4"/>
    </row>
    <row r="6769" spans="1:6" x14ac:dyDescent="0.4">
      <c r="A6769" s="4"/>
      <c r="B6769" s="4"/>
      <c r="D6769" s="4"/>
      <c r="E6769" s="4"/>
      <c r="F6769" s="4"/>
    </row>
    <row r="6770" spans="1:6" x14ac:dyDescent="0.4">
      <c r="A6770" s="4"/>
      <c r="B6770" s="4"/>
      <c r="D6770" s="4"/>
      <c r="E6770" s="4"/>
      <c r="F6770" s="4"/>
    </row>
    <row r="6771" spans="1:6" x14ac:dyDescent="0.4">
      <c r="A6771" s="4"/>
      <c r="B6771" s="4"/>
      <c r="D6771" s="4"/>
      <c r="E6771" s="4"/>
      <c r="F6771" s="4"/>
    </row>
    <row r="6772" spans="1:6" x14ac:dyDescent="0.4">
      <c r="A6772" s="4"/>
      <c r="B6772" s="4"/>
      <c r="D6772" s="4"/>
      <c r="E6772" s="4"/>
      <c r="F6772" s="4"/>
    </row>
    <row r="6773" spans="1:6" x14ac:dyDescent="0.4">
      <c r="A6773" s="4"/>
      <c r="B6773" s="4"/>
      <c r="D6773" s="4"/>
      <c r="E6773" s="4"/>
      <c r="F6773" s="4"/>
    </row>
    <row r="6774" spans="1:6" x14ac:dyDescent="0.4">
      <c r="A6774" s="4"/>
      <c r="B6774" s="4"/>
      <c r="D6774" s="4"/>
      <c r="E6774" s="4"/>
      <c r="F6774" s="4"/>
    </row>
    <row r="6775" spans="1:6" x14ac:dyDescent="0.4">
      <c r="A6775" s="4"/>
      <c r="B6775" s="4"/>
      <c r="D6775" s="4"/>
      <c r="E6775" s="4"/>
      <c r="F6775" s="4"/>
    </row>
    <row r="6776" spans="1:6" x14ac:dyDescent="0.4">
      <c r="A6776" s="4"/>
      <c r="B6776" s="4"/>
      <c r="D6776" s="4"/>
      <c r="E6776" s="4"/>
      <c r="F6776" s="4"/>
    </row>
    <row r="6777" spans="1:6" x14ac:dyDescent="0.4">
      <c r="A6777" s="4"/>
      <c r="B6777" s="4"/>
      <c r="D6777" s="4"/>
      <c r="E6777" s="4"/>
      <c r="F6777" s="4"/>
    </row>
    <row r="6778" spans="1:6" x14ac:dyDescent="0.4">
      <c r="A6778" s="4"/>
      <c r="B6778" s="4"/>
      <c r="D6778" s="4"/>
      <c r="E6778" s="4"/>
      <c r="F6778" s="4"/>
    </row>
    <row r="6779" spans="1:6" x14ac:dyDescent="0.4">
      <c r="A6779" s="4"/>
      <c r="B6779" s="4"/>
      <c r="D6779" s="4"/>
      <c r="E6779" s="4"/>
      <c r="F6779" s="4"/>
    </row>
    <row r="6780" spans="1:6" x14ac:dyDescent="0.4">
      <c r="A6780" s="4"/>
      <c r="B6780" s="4"/>
      <c r="D6780" s="4"/>
      <c r="E6780" s="4"/>
      <c r="F6780" s="4"/>
    </row>
    <row r="6781" spans="1:6" x14ac:dyDescent="0.4">
      <c r="A6781" s="4"/>
      <c r="B6781" s="4"/>
      <c r="D6781" s="4"/>
      <c r="E6781" s="4"/>
      <c r="F6781" s="4"/>
    </row>
    <row r="6782" spans="1:6" x14ac:dyDescent="0.4">
      <c r="A6782" s="4"/>
      <c r="B6782" s="4"/>
      <c r="D6782" s="4"/>
      <c r="E6782" s="4"/>
      <c r="F6782" s="4"/>
    </row>
    <row r="6783" spans="1:6" x14ac:dyDescent="0.4">
      <c r="A6783" s="4"/>
      <c r="B6783" s="4"/>
      <c r="D6783" s="4"/>
      <c r="E6783" s="4"/>
      <c r="F6783" s="4"/>
    </row>
    <row r="6784" spans="1:6" x14ac:dyDescent="0.4">
      <c r="A6784" s="4"/>
      <c r="B6784" s="4"/>
      <c r="D6784" s="4"/>
      <c r="E6784" s="4"/>
      <c r="F6784" s="4"/>
    </row>
    <row r="6785" spans="1:6" x14ac:dyDescent="0.4">
      <c r="A6785" s="4"/>
      <c r="B6785" s="4"/>
      <c r="D6785" s="4"/>
      <c r="E6785" s="4"/>
      <c r="F6785" s="4"/>
    </row>
    <row r="6786" spans="1:6" x14ac:dyDescent="0.4">
      <c r="A6786" s="4"/>
      <c r="B6786" s="4"/>
      <c r="D6786" s="4"/>
      <c r="E6786" s="4"/>
      <c r="F6786" s="4"/>
    </row>
    <row r="6787" spans="1:6" x14ac:dyDescent="0.4">
      <c r="A6787" s="4"/>
      <c r="B6787" s="4"/>
      <c r="D6787" s="4"/>
      <c r="E6787" s="4"/>
      <c r="F6787" s="4"/>
    </row>
    <row r="6788" spans="1:6" x14ac:dyDescent="0.4">
      <c r="A6788" s="4"/>
      <c r="B6788" s="4"/>
      <c r="D6788" s="4"/>
      <c r="E6788" s="4"/>
      <c r="F6788" s="4"/>
    </row>
    <row r="6789" spans="1:6" x14ac:dyDescent="0.4">
      <c r="A6789" s="4"/>
      <c r="B6789" s="4"/>
      <c r="D6789" s="4"/>
      <c r="E6789" s="4"/>
      <c r="F6789" s="4"/>
    </row>
    <row r="6790" spans="1:6" x14ac:dyDescent="0.4">
      <c r="A6790" s="4"/>
      <c r="B6790" s="4"/>
      <c r="D6790" s="4"/>
      <c r="E6790" s="4"/>
      <c r="F6790" s="4"/>
    </row>
    <row r="6791" spans="1:6" x14ac:dyDescent="0.4">
      <c r="A6791" s="4"/>
      <c r="B6791" s="4"/>
      <c r="D6791" s="4"/>
      <c r="E6791" s="4"/>
      <c r="F6791" s="4"/>
    </row>
    <row r="6792" spans="1:6" x14ac:dyDescent="0.4">
      <c r="A6792" s="4"/>
      <c r="B6792" s="4"/>
      <c r="D6792" s="4"/>
      <c r="E6792" s="4"/>
      <c r="F6792" s="4"/>
    </row>
    <row r="6793" spans="1:6" x14ac:dyDescent="0.4">
      <c r="A6793" s="4"/>
      <c r="B6793" s="4"/>
      <c r="D6793" s="4"/>
      <c r="E6793" s="4"/>
      <c r="F6793" s="4"/>
    </row>
    <row r="6794" spans="1:6" x14ac:dyDescent="0.4">
      <c r="A6794" s="4"/>
      <c r="B6794" s="4"/>
      <c r="D6794" s="4"/>
      <c r="E6794" s="4"/>
      <c r="F6794" s="4"/>
    </row>
    <row r="6795" spans="1:6" x14ac:dyDescent="0.4">
      <c r="A6795" s="4"/>
      <c r="B6795" s="4"/>
      <c r="D6795" s="4"/>
      <c r="E6795" s="4"/>
      <c r="F6795" s="4"/>
    </row>
    <row r="6796" spans="1:6" x14ac:dyDescent="0.4">
      <c r="A6796" s="4"/>
      <c r="B6796" s="4"/>
      <c r="D6796" s="4"/>
      <c r="E6796" s="4"/>
      <c r="F6796" s="4"/>
    </row>
    <row r="6797" spans="1:6" x14ac:dyDescent="0.4">
      <c r="A6797" s="4"/>
      <c r="B6797" s="4"/>
      <c r="D6797" s="4"/>
      <c r="E6797" s="4"/>
      <c r="F6797" s="4"/>
    </row>
    <row r="6798" spans="1:6" x14ac:dyDescent="0.4">
      <c r="A6798" s="4"/>
      <c r="B6798" s="4"/>
      <c r="D6798" s="4"/>
      <c r="E6798" s="4"/>
      <c r="F6798" s="4"/>
    </row>
    <row r="6799" spans="1:6" x14ac:dyDescent="0.4">
      <c r="A6799" s="4"/>
      <c r="B6799" s="4"/>
      <c r="D6799" s="4"/>
      <c r="E6799" s="4"/>
      <c r="F6799" s="4"/>
    </row>
    <row r="6800" spans="1:6" x14ac:dyDescent="0.4">
      <c r="A6800" s="4"/>
      <c r="B6800" s="4"/>
      <c r="D6800" s="4"/>
      <c r="E6800" s="4"/>
      <c r="F6800" s="4"/>
    </row>
    <row r="6801" spans="1:6" x14ac:dyDescent="0.4">
      <c r="A6801" s="4"/>
      <c r="B6801" s="4"/>
      <c r="D6801" s="4"/>
      <c r="E6801" s="4"/>
      <c r="F6801" s="4"/>
    </row>
    <row r="6802" spans="1:6" x14ac:dyDescent="0.4">
      <c r="A6802" s="4"/>
      <c r="B6802" s="4"/>
      <c r="D6802" s="4"/>
      <c r="E6802" s="4"/>
      <c r="F6802" s="4"/>
    </row>
    <row r="6803" spans="1:6" x14ac:dyDescent="0.4">
      <c r="A6803" s="4"/>
      <c r="B6803" s="4"/>
      <c r="D6803" s="4"/>
      <c r="E6803" s="4"/>
      <c r="F6803" s="4"/>
    </row>
    <row r="6804" spans="1:6" x14ac:dyDescent="0.4">
      <c r="A6804" s="4"/>
      <c r="B6804" s="4"/>
      <c r="D6804" s="4"/>
      <c r="E6804" s="4"/>
      <c r="F6804" s="4"/>
    </row>
    <row r="6805" spans="1:6" x14ac:dyDescent="0.4">
      <c r="A6805" s="4"/>
      <c r="B6805" s="4"/>
      <c r="D6805" s="4"/>
      <c r="E6805" s="4"/>
      <c r="F6805" s="4"/>
    </row>
    <row r="6806" spans="1:6" x14ac:dyDescent="0.4">
      <c r="A6806" s="4"/>
      <c r="B6806" s="4"/>
      <c r="D6806" s="4"/>
      <c r="E6806" s="4"/>
      <c r="F6806" s="4"/>
    </row>
    <row r="6807" spans="1:6" x14ac:dyDescent="0.4">
      <c r="A6807" s="4"/>
      <c r="B6807" s="4"/>
      <c r="D6807" s="4"/>
      <c r="E6807" s="4"/>
      <c r="F6807" s="4"/>
    </row>
    <row r="6808" spans="1:6" x14ac:dyDescent="0.4">
      <c r="A6808" s="4"/>
      <c r="B6808" s="4"/>
      <c r="D6808" s="4"/>
      <c r="E6808" s="4"/>
      <c r="F6808" s="4"/>
    </row>
    <row r="6809" spans="1:6" x14ac:dyDescent="0.4">
      <c r="A6809" s="4"/>
      <c r="B6809" s="4"/>
      <c r="D6809" s="4"/>
      <c r="E6809" s="4"/>
      <c r="F6809" s="4"/>
    </row>
    <row r="6810" spans="1:6" x14ac:dyDescent="0.4">
      <c r="A6810" s="4"/>
      <c r="B6810" s="4"/>
      <c r="D6810" s="4"/>
      <c r="E6810" s="4"/>
      <c r="F6810" s="4"/>
    </row>
    <row r="6811" spans="1:6" x14ac:dyDescent="0.4">
      <c r="A6811" s="4"/>
      <c r="B6811" s="4"/>
      <c r="D6811" s="4"/>
      <c r="E6811" s="4"/>
      <c r="F6811" s="4"/>
    </row>
    <row r="6812" spans="1:6" x14ac:dyDescent="0.4">
      <c r="A6812" s="4"/>
      <c r="B6812" s="4"/>
      <c r="D6812" s="4"/>
      <c r="E6812" s="4"/>
      <c r="F6812" s="4"/>
    </row>
    <row r="6813" spans="1:6" x14ac:dyDescent="0.4">
      <c r="A6813" s="4"/>
      <c r="B6813" s="4"/>
      <c r="D6813" s="4"/>
      <c r="E6813" s="4"/>
      <c r="F6813" s="4"/>
    </row>
    <row r="6814" spans="1:6" x14ac:dyDescent="0.4">
      <c r="A6814" s="4"/>
      <c r="B6814" s="4"/>
      <c r="D6814" s="4"/>
      <c r="E6814" s="4"/>
      <c r="F6814" s="4"/>
    </row>
    <row r="6815" spans="1:6" x14ac:dyDescent="0.4">
      <c r="A6815" s="4"/>
      <c r="B6815" s="4"/>
      <c r="D6815" s="4"/>
      <c r="E6815" s="4"/>
      <c r="F6815" s="4"/>
    </row>
    <row r="6816" spans="1:6" x14ac:dyDescent="0.4">
      <c r="A6816" s="4"/>
      <c r="B6816" s="4"/>
      <c r="D6816" s="4"/>
      <c r="E6816" s="4"/>
      <c r="F6816" s="4"/>
    </row>
    <row r="6817" spans="1:6" x14ac:dyDescent="0.4">
      <c r="A6817" s="4"/>
      <c r="B6817" s="4"/>
      <c r="D6817" s="4"/>
      <c r="E6817" s="4"/>
      <c r="F6817" s="4"/>
    </row>
    <row r="6818" spans="1:6" x14ac:dyDescent="0.4">
      <c r="A6818" s="4"/>
      <c r="B6818" s="4"/>
      <c r="D6818" s="4"/>
      <c r="E6818" s="4"/>
      <c r="F6818" s="4"/>
    </row>
    <row r="6819" spans="1:6" x14ac:dyDescent="0.4">
      <c r="A6819" s="4"/>
      <c r="B6819" s="4"/>
      <c r="D6819" s="4"/>
      <c r="E6819" s="4"/>
      <c r="F6819" s="4"/>
    </row>
    <row r="6820" spans="1:6" x14ac:dyDescent="0.4">
      <c r="A6820" s="4"/>
      <c r="B6820" s="4"/>
      <c r="D6820" s="4"/>
      <c r="E6820" s="4"/>
      <c r="F6820" s="4"/>
    </row>
    <row r="6821" spans="1:6" x14ac:dyDescent="0.4">
      <c r="A6821" s="4"/>
      <c r="B6821" s="4"/>
      <c r="D6821" s="4"/>
      <c r="E6821" s="4"/>
      <c r="F6821" s="4"/>
    </row>
    <row r="6822" spans="1:6" x14ac:dyDescent="0.4">
      <c r="A6822" s="4"/>
      <c r="B6822" s="4"/>
      <c r="D6822" s="4"/>
      <c r="E6822" s="4"/>
      <c r="F6822" s="4"/>
    </row>
    <row r="6823" spans="1:6" x14ac:dyDescent="0.4">
      <c r="A6823" s="4"/>
      <c r="B6823" s="4"/>
      <c r="D6823" s="4"/>
      <c r="E6823" s="4"/>
      <c r="F6823" s="4"/>
    </row>
    <row r="6824" spans="1:6" x14ac:dyDescent="0.4">
      <c r="A6824" s="4"/>
      <c r="B6824" s="4"/>
      <c r="D6824" s="4"/>
      <c r="E6824" s="4"/>
      <c r="F6824" s="4"/>
    </row>
    <row r="6825" spans="1:6" x14ac:dyDescent="0.4">
      <c r="A6825" s="4"/>
      <c r="B6825" s="4"/>
      <c r="D6825" s="4"/>
      <c r="E6825" s="4"/>
      <c r="F6825" s="4"/>
    </row>
    <row r="6826" spans="1:6" x14ac:dyDescent="0.4">
      <c r="A6826" s="4"/>
      <c r="B6826" s="4"/>
      <c r="D6826" s="4"/>
      <c r="E6826" s="4"/>
      <c r="F6826" s="4"/>
    </row>
    <row r="6827" spans="1:6" x14ac:dyDescent="0.4">
      <c r="A6827" s="4"/>
      <c r="B6827" s="4"/>
      <c r="D6827" s="4"/>
      <c r="E6827" s="4"/>
      <c r="F6827" s="4"/>
    </row>
    <row r="6828" spans="1:6" x14ac:dyDescent="0.4">
      <c r="A6828" s="4"/>
      <c r="B6828" s="4"/>
      <c r="D6828" s="4"/>
      <c r="E6828" s="4"/>
      <c r="F6828" s="4"/>
    </row>
    <row r="6829" spans="1:6" x14ac:dyDescent="0.4">
      <c r="A6829" s="4"/>
      <c r="B6829" s="4"/>
      <c r="D6829" s="4"/>
      <c r="E6829" s="4"/>
      <c r="F6829" s="4"/>
    </row>
    <row r="6830" spans="1:6" x14ac:dyDescent="0.4">
      <c r="A6830" s="4"/>
      <c r="B6830" s="4"/>
      <c r="D6830" s="4"/>
      <c r="E6830" s="4"/>
      <c r="F6830" s="4"/>
    </row>
    <row r="6831" spans="1:6" x14ac:dyDescent="0.4">
      <c r="A6831" s="4"/>
      <c r="B6831" s="4"/>
      <c r="D6831" s="4"/>
      <c r="E6831" s="4"/>
      <c r="F6831" s="4"/>
    </row>
    <row r="6832" spans="1:6" x14ac:dyDescent="0.4">
      <c r="A6832" s="4"/>
      <c r="B6832" s="4"/>
      <c r="D6832" s="4"/>
      <c r="E6832" s="4"/>
      <c r="F6832" s="4"/>
    </row>
    <row r="6833" spans="1:6" x14ac:dyDescent="0.4">
      <c r="A6833" s="4"/>
      <c r="B6833" s="4"/>
      <c r="D6833" s="4"/>
      <c r="E6833" s="4"/>
      <c r="F6833" s="4"/>
    </row>
    <row r="6834" spans="1:6" x14ac:dyDescent="0.4">
      <c r="A6834" s="4"/>
      <c r="B6834" s="4"/>
      <c r="D6834" s="4"/>
      <c r="E6834" s="4"/>
      <c r="F6834" s="4"/>
    </row>
    <row r="6835" spans="1:6" x14ac:dyDescent="0.4">
      <c r="A6835" s="4"/>
      <c r="B6835" s="4"/>
      <c r="D6835" s="4"/>
      <c r="E6835" s="4"/>
      <c r="F6835" s="4"/>
    </row>
    <row r="6836" spans="1:6" x14ac:dyDescent="0.4">
      <c r="A6836" s="4"/>
      <c r="B6836" s="4"/>
      <c r="D6836" s="4"/>
      <c r="E6836" s="4"/>
      <c r="F6836" s="4"/>
    </row>
    <row r="6837" spans="1:6" x14ac:dyDescent="0.4">
      <c r="A6837" s="4"/>
      <c r="B6837" s="4"/>
      <c r="D6837" s="4"/>
      <c r="E6837" s="4"/>
      <c r="F6837" s="4"/>
    </row>
    <row r="6838" spans="1:6" x14ac:dyDescent="0.4">
      <c r="A6838" s="4"/>
      <c r="B6838" s="4"/>
      <c r="D6838" s="4"/>
      <c r="E6838" s="4"/>
      <c r="F6838" s="4"/>
    </row>
    <row r="6839" spans="1:6" x14ac:dyDescent="0.4">
      <c r="A6839" s="4"/>
      <c r="B6839" s="4"/>
      <c r="D6839" s="4"/>
      <c r="E6839" s="4"/>
      <c r="F6839" s="4"/>
    </row>
    <row r="6840" spans="1:6" x14ac:dyDescent="0.4">
      <c r="A6840" s="4"/>
      <c r="B6840" s="4"/>
      <c r="D6840" s="4"/>
      <c r="E6840" s="4"/>
      <c r="F6840" s="4"/>
    </row>
    <row r="6841" spans="1:6" x14ac:dyDescent="0.4">
      <c r="A6841" s="4"/>
      <c r="B6841" s="4"/>
      <c r="D6841" s="4"/>
      <c r="E6841" s="4"/>
      <c r="F6841" s="4"/>
    </row>
    <row r="6842" spans="1:6" x14ac:dyDescent="0.4">
      <c r="A6842" s="4"/>
      <c r="B6842" s="4"/>
      <c r="D6842" s="4"/>
      <c r="E6842" s="4"/>
      <c r="F6842" s="4"/>
    </row>
    <row r="6843" spans="1:6" x14ac:dyDescent="0.4">
      <c r="A6843" s="4"/>
      <c r="B6843" s="4"/>
      <c r="D6843" s="4"/>
      <c r="E6843" s="4"/>
      <c r="F6843" s="4"/>
    </row>
    <row r="6844" spans="1:6" x14ac:dyDescent="0.4">
      <c r="A6844" s="4"/>
      <c r="B6844" s="4"/>
      <c r="D6844" s="4"/>
      <c r="E6844" s="4"/>
      <c r="F6844" s="4"/>
    </row>
    <row r="6845" spans="1:6" x14ac:dyDescent="0.4">
      <c r="A6845" s="4"/>
      <c r="B6845" s="4"/>
      <c r="D6845" s="4"/>
      <c r="E6845" s="4"/>
      <c r="F6845" s="4"/>
    </row>
    <row r="6846" spans="1:6" x14ac:dyDescent="0.4">
      <c r="A6846" s="4"/>
      <c r="B6846" s="4"/>
      <c r="D6846" s="4"/>
      <c r="E6846" s="4"/>
      <c r="F6846" s="4"/>
    </row>
    <row r="6847" spans="1:6" x14ac:dyDescent="0.4">
      <c r="A6847" s="4"/>
      <c r="B6847" s="4"/>
      <c r="D6847" s="4"/>
      <c r="E6847" s="4"/>
      <c r="F6847" s="4"/>
    </row>
    <row r="6848" spans="1:6" x14ac:dyDescent="0.4">
      <c r="A6848" s="4"/>
      <c r="B6848" s="4"/>
      <c r="D6848" s="4"/>
      <c r="E6848" s="4"/>
      <c r="F6848" s="4"/>
    </row>
    <row r="6849" spans="1:6" x14ac:dyDescent="0.4">
      <c r="A6849" s="4"/>
      <c r="B6849" s="4"/>
      <c r="D6849" s="4"/>
      <c r="E6849" s="4"/>
      <c r="F6849" s="4"/>
    </row>
    <row r="6850" spans="1:6" x14ac:dyDescent="0.4">
      <c r="A6850" s="4"/>
      <c r="B6850" s="4"/>
      <c r="D6850" s="4"/>
      <c r="E6850" s="4"/>
      <c r="F6850" s="4"/>
    </row>
    <row r="6851" spans="1:6" x14ac:dyDescent="0.4">
      <c r="A6851" s="4"/>
      <c r="B6851" s="4"/>
      <c r="D6851" s="4"/>
      <c r="E6851" s="4"/>
      <c r="F6851" s="4"/>
    </row>
    <row r="6852" spans="1:6" x14ac:dyDescent="0.4">
      <c r="A6852" s="4"/>
      <c r="B6852" s="4"/>
      <c r="D6852" s="4"/>
      <c r="E6852" s="4"/>
      <c r="F6852" s="4"/>
    </row>
    <row r="6853" spans="1:6" x14ac:dyDescent="0.4">
      <c r="A6853" s="4"/>
      <c r="B6853" s="4"/>
      <c r="D6853" s="4"/>
      <c r="E6853" s="4"/>
      <c r="F6853" s="4"/>
    </row>
    <row r="6854" spans="1:6" x14ac:dyDescent="0.4">
      <c r="A6854" s="4"/>
      <c r="B6854" s="4"/>
      <c r="D6854" s="4"/>
      <c r="E6854" s="4"/>
      <c r="F6854" s="4"/>
    </row>
    <row r="6855" spans="1:6" x14ac:dyDescent="0.4">
      <c r="A6855" s="4"/>
      <c r="B6855" s="4"/>
      <c r="D6855" s="4"/>
      <c r="E6855" s="4"/>
      <c r="F6855" s="4"/>
    </row>
    <row r="6856" spans="1:6" x14ac:dyDescent="0.4">
      <c r="A6856" s="4"/>
      <c r="B6856" s="4"/>
      <c r="D6856" s="4"/>
      <c r="E6856" s="4"/>
      <c r="F6856" s="4"/>
    </row>
    <row r="6857" spans="1:6" x14ac:dyDescent="0.4">
      <c r="A6857" s="4"/>
      <c r="B6857" s="4"/>
      <c r="D6857" s="4"/>
      <c r="E6857" s="4"/>
      <c r="F6857" s="4"/>
    </row>
    <row r="6858" spans="1:6" x14ac:dyDescent="0.4">
      <c r="A6858" s="4"/>
      <c r="B6858" s="4"/>
      <c r="D6858" s="4"/>
      <c r="E6858" s="4"/>
      <c r="F6858" s="4"/>
    </row>
    <row r="6859" spans="1:6" x14ac:dyDescent="0.4">
      <c r="A6859" s="4"/>
      <c r="B6859" s="4"/>
      <c r="D6859" s="4"/>
      <c r="E6859" s="4"/>
      <c r="F6859" s="4"/>
    </row>
    <row r="6860" spans="1:6" x14ac:dyDescent="0.4">
      <c r="A6860" s="4"/>
      <c r="B6860" s="4"/>
      <c r="D6860" s="4"/>
      <c r="E6860" s="4"/>
      <c r="F6860" s="4"/>
    </row>
    <row r="6861" spans="1:6" x14ac:dyDescent="0.4">
      <c r="A6861" s="4"/>
      <c r="B6861" s="4"/>
      <c r="D6861" s="4"/>
      <c r="E6861" s="4"/>
      <c r="F6861" s="4"/>
    </row>
    <row r="6862" spans="1:6" x14ac:dyDescent="0.4">
      <c r="A6862" s="4"/>
      <c r="B6862" s="4"/>
      <c r="D6862" s="4"/>
      <c r="E6862" s="4"/>
      <c r="F6862" s="4"/>
    </row>
    <row r="6863" spans="1:6" x14ac:dyDescent="0.4">
      <c r="A6863" s="4"/>
      <c r="B6863" s="4"/>
      <c r="D6863" s="4"/>
      <c r="E6863" s="4"/>
      <c r="F6863" s="4"/>
    </row>
    <row r="6864" spans="1:6" x14ac:dyDescent="0.4">
      <c r="A6864" s="4"/>
      <c r="B6864" s="4"/>
      <c r="D6864" s="4"/>
      <c r="E6864" s="4"/>
      <c r="F6864" s="4"/>
    </row>
    <row r="6865" spans="1:6" x14ac:dyDescent="0.4">
      <c r="A6865" s="4"/>
      <c r="B6865" s="4"/>
      <c r="D6865" s="4"/>
      <c r="E6865" s="4"/>
      <c r="F6865" s="4"/>
    </row>
    <row r="6866" spans="1:6" x14ac:dyDescent="0.4">
      <c r="A6866" s="4"/>
      <c r="B6866" s="4"/>
      <c r="D6866" s="4"/>
      <c r="E6866" s="4"/>
      <c r="F6866" s="4"/>
    </row>
    <row r="6867" spans="1:6" x14ac:dyDescent="0.4">
      <c r="A6867" s="4"/>
      <c r="B6867" s="4"/>
      <c r="D6867" s="4"/>
      <c r="E6867" s="4"/>
      <c r="F6867" s="4"/>
    </row>
    <row r="6868" spans="1:6" x14ac:dyDescent="0.4">
      <c r="A6868" s="4"/>
      <c r="B6868" s="4"/>
      <c r="D6868" s="4"/>
      <c r="E6868" s="4"/>
      <c r="F6868" s="4"/>
    </row>
    <row r="6869" spans="1:6" x14ac:dyDescent="0.4">
      <c r="A6869" s="4"/>
      <c r="B6869" s="4"/>
      <c r="D6869" s="4"/>
      <c r="E6869" s="4"/>
      <c r="F6869" s="4"/>
    </row>
    <row r="6870" spans="1:6" x14ac:dyDescent="0.4">
      <c r="A6870" s="4"/>
      <c r="B6870" s="4"/>
      <c r="D6870" s="4"/>
      <c r="E6870" s="4"/>
      <c r="F6870" s="4"/>
    </row>
    <row r="6871" spans="1:6" x14ac:dyDescent="0.4">
      <c r="A6871" s="4"/>
      <c r="B6871" s="4"/>
      <c r="D6871" s="4"/>
      <c r="E6871" s="4"/>
      <c r="F6871" s="4"/>
    </row>
    <row r="6872" spans="1:6" x14ac:dyDescent="0.4">
      <c r="A6872" s="4"/>
      <c r="B6872" s="4"/>
      <c r="D6872" s="4"/>
      <c r="E6872" s="4"/>
      <c r="F6872" s="4"/>
    </row>
    <row r="6873" spans="1:6" x14ac:dyDescent="0.4">
      <c r="A6873" s="4"/>
      <c r="B6873" s="4"/>
      <c r="D6873" s="4"/>
      <c r="E6873" s="4"/>
      <c r="F6873" s="4"/>
    </row>
    <row r="6874" spans="1:6" x14ac:dyDescent="0.4">
      <c r="A6874" s="4"/>
      <c r="B6874" s="4"/>
      <c r="D6874" s="4"/>
      <c r="E6874" s="4"/>
      <c r="F6874" s="4"/>
    </row>
    <row r="6875" spans="1:6" x14ac:dyDescent="0.4">
      <c r="A6875" s="4"/>
      <c r="B6875" s="4"/>
      <c r="D6875" s="4"/>
      <c r="E6875" s="4"/>
      <c r="F6875" s="4"/>
    </row>
    <row r="6876" spans="1:6" x14ac:dyDescent="0.4">
      <c r="A6876" s="4"/>
      <c r="B6876" s="4"/>
      <c r="D6876" s="4"/>
      <c r="E6876" s="4"/>
      <c r="F6876" s="4"/>
    </row>
    <row r="6877" spans="1:6" x14ac:dyDescent="0.4">
      <c r="A6877" s="4"/>
      <c r="B6877" s="4"/>
      <c r="D6877" s="4"/>
      <c r="E6877" s="4"/>
      <c r="F6877" s="4"/>
    </row>
    <row r="6878" spans="1:6" x14ac:dyDescent="0.4">
      <c r="A6878" s="4"/>
      <c r="B6878" s="4"/>
      <c r="D6878" s="4"/>
      <c r="E6878" s="4"/>
      <c r="F6878" s="4"/>
    </row>
    <row r="6879" spans="1:6" x14ac:dyDescent="0.4">
      <c r="A6879" s="4"/>
      <c r="B6879" s="4"/>
      <c r="D6879" s="4"/>
      <c r="E6879" s="4"/>
      <c r="F6879" s="4"/>
    </row>
    <row r="6880" spans="1:6" x14ac:dyDescent="0.4">
      <c r="A6880" s="4"/>
      <c r="B6880" s="4"/>
      <c r="D6880" s="4"/>
      <c r="E6880" s="4"/>
      <c r="F6880" s="4"/>
    </row>
    <row r="6881" spans="1:6" x14ac:dyDescent="0.4">
      <c r="A6881" s="4"/>
      <c r="B6881" s="4"/>
      <c r="D6881" s="4"/>
      <c r="E6881" s="4"/>
      <c r="F6881" s="4"/>
    </row>
    <row r="6882" spans="1:6" x14ac:dyDescent="0.4">
      <c r="A6882" s="4"/>
      <c r="B6882" s="4"/>
      <c r="D6882" s="4"/>
      <c r="E6882" s="4"/>
      <c r="F6882" s="4"/>
    </row>
    <row r="6883" spans="1:6" x14ac:dyDescent="0.4">
      <c r="A6883" s="4"/>
      <c r="B6883" s="4"/>
      <c r="D6883" s="4"/>
      <c r="E6883" s="4"/>
      <c r="F6883" s="4"/>
    </row>
    <row r="6884" spans="1:6" x14ac:dyDescent="0.4">
      <c r="A6884" s="4"/>
      <c r="B6884" s="4"/>
      <c r="D6884" s="4"/>
      <c r="E6884" s="4"/>
      <c r="F6884" s="4"/>
    </row>
    <row r="6885" spans="1:6" x14ac:dyDescent="0.4">
      <c r="A6885" s="4"/>
      <c r="B6885" s="4"/>
      <c r="D6885" s="4"/>
      <c r="E6885" s="4"/>
      <c r="F6885" s="4"/>
    </row>
    <row r="6886" spans="1:6" x14ac:dyDescent="0.4">
      <c r="A6886" s="4"/>
      <c r="B6886" s="4"/>
      <c r="D6886" s="4"/>
      <c r="E6886" s="4"/>
      <c r="F6886" s="4"/>
    </row>
    <row r="6887" spans="1:6" x14ac:dyDescent="0.4">
      <c r="A6887" s="4"/>
      <c r="B6887" s="4"/>
      <c r="D6887" s="4"/>
      <c r="E6887" s="4"/>
      <c r="F6887" s="4"/>
    </row>
    <row r="6888" spans="1:6" x14ac:dyDescent="0.4">
      <c r="A6888" s="4"/>
      <c r="B6888" s="4"/>
      <c r="D6888" s="4"/>
      <c r="E6888" s="4"/>
      <c r="F6888" s="4"/>
    </row>
    <row r="6889" spans="1:6" x14ac:dyDescent="0.4">
      <c r="A6889" s="4"/>
      <c r="B6889" s="4"/>
      <c r="D6889" s="4"/>
      <c r="E6889" s="4"/>
      <c r="F6889" s="4"/>
    </row>
    <row r="6890" spans="1:6" x14ac:dyDescent="0.4">
      <c r="A6890" s="4"/>
      <c r="B6890" s="4"/>
      <c r="D6890" s="4"/>
      <c r="E6890" s="4"/>
      <c r="F6890" s="4"/>
    </row>
    <row r="6891" spans="1:6" x14ac:dyDescent="0.4">
      <c r="A6891" s="4"/>
      <c r="B6891" s="4"/>
      <c r="D6891" s="4"/>
      <c r="E6891" s="4"/>
      <c r="F6891" s="4"/>
    </row>
    <row r="6892" spans="1:6" x14ac:dyDescent="0.4">
      <c r="A6892" s="4"/>
      <c r="B6892" s="4"/>
      <c r="D6892" s="4"/>
      <c r="E6892" s="4"/>
      <c r="F6892" s="4"/>
    </row>
    <row r="6893" spans="1:6" x14ac:dyDescent="0.4">
      <c r="A6893" s="4"/>
      <c r="B6893" s="4"/>
      <c r="D6893" s="4"/>
      <c r="E6893" s="4"/>
      <c r="F6893" s="4"/>
    </row>
    <row r="6894" spans="1:6" x14ac:dyDescent="0.4">
      <c r="A6894" s="4"/>
      <c r="B6894" s="4"/>
      <c r="D6894" s="4"/>
      <c r="E6894" s="4"/>
      <c r="F6894" s="4"/>
    </row>
    <row r="6895" spans="1:6" x14ac:dyDescent="0.4">
      <c r="A6895" s="4"/>
      <c r="B6895" s="4"/>
      <c r="D6895" s="4"/>
      <c r="E6895" s="4"/>
      <c r="F6895" s="4"/>
    </row>
    <row r="6896" spans="1:6" x14ac:dyDescent="0.4">
      <c r="A6896" s="4"/>
      <c r="B6896" s="4"/>
      <c r="D6896" s="4"/>
      <c r="E6896" s="4"/>
      <c r="F6896" s="4"/>
    </row>
    <row r="6897" spans="1:6" x14ac:dyDescent="0.4">
      <c r="A6897" s="4"/>
      <c r="B6897" s="4"/>
      <c r="D6897" s="4"/>
      <c r="E6897" s="4"/>
      <c r="F6897" s="4"/>
    </row>
    <row r="6898" spans="1:6" x14ac:dyDescent="0.4">
      <c r="A6898" s="4"/>
      <c r="B6898" s="4"/>
      <c r="D6898" s="4"/>
      <c r="E6898" s="4"/>
      <c r="F6898" s="4"/>
    </row>
    <row r="6899" spans="1:6" x14ac:dyDescent="0.4">
      <c r="A6899" s="4"/>
      <c r="B6899" s="4"/>
      <c r="D6899" s="4"/>
      <c r="E6899" s="4"/>
      <c r="F6899" s="4"/>
    </row>
    <row r="6900" spans="1:6" x14ac:dyDescent="0.4">
      <c r="A6900" s="4"/>
      <c r="B6900" s="4"/>
      <c r="D6900" s="4"/>
      <c r="E6900" s="4"/>
      <c r="F6900" s="4"/>
    </row>
    <row r="6901" spans="1:6" x14ac:dyDescent="0.4">
      <c r="A6901" s="4"/>
      <c r="B6901" s="4"/>
      <c r="D6901" s="4"/>
      <c r="E6901" s="4"/>
      <c r="F6901" s="4"/>
    </row>
    <row r="6902" spans="1:6" x14ac:dyDescent="0.4">
      <c r="A6902" s="4"/>
      <c r="B6902" s="4"/>
      <c r="D6902" s="4"/>
      <c r="E6902" s="4"/>
      <c r="F6902" s="4"/>
    </row>
    <row r="6903" spans="1:6" x14ac:dyDescent="0.4">
      <c r="A6903" s="4"/>
      <c r="B6903" s="4"/>
      <c r="D6903" s="4"/>
      <c r="E6903" s="4"/>
      <c r="F6903" s="4"/>
    </row>
    <row r="6904" spans="1:6" x14ac:dyDescent="0.4">
      <c r="A6904" s="4"/>
      <c r="B6904" s="4"/>
      <c r="D6904" s="4"/>
      <c r="E6904" s="4"/>
      <c r="F6904" s="4"/>
    </row>
    <row r="6905" spans="1:6" x14ac:dyDescent="0.4">
      <c r="A6905" s="4"/>
      <c r="B6905" s="4"/>
      <c r="D6905" s="4"/>
      <c r="E6905" s="4"/>
      <c r="F6905" s="4"/>
    </row>
    <row r="6906" spans="1:6" x14ac:dyDescent="0.4">
      <c r="A6906" s="4"/>
      <c r="B6906" s="4"/>
      <c r="D6906" s="4"/>
      <c r="E6906" s="4"/>
      <c r="F6906" s="4"/>
    </row>
    <row r="6907" spans="1:6" x14ac:dyDescent="0.4">
      <c r="A6907" s="4"/>
      <c r="B6907" s="4"/>
      <c r="D6907" s="4"/>
      <c r="E6907" s="4"/>
      <c r="F6907" s="4"/>
    </row>
    <row r="6908" spans="1:6" x14ac:dyDescent="0.4">
      <c r="A6908" s="4"/>
      <c r="B6908" s="4"/>
      <c r="D6908" s="4"/>
      <c r="E6908" s="4"/>
      <c r="F6908" s="4"/>
    </row>
    <row r="6909" spans="1:6" x14ac:dyDescent="0.4">
      <c r="A6909" s="4"/>
      <c r="B6909" s="4"/>
      <c r="D6909" s="4"/>
      <c r="E6909" s="4"/>
      <c r="F6909" s="4"/>
    </row>
    <row r="6910" spans="1:6" x14ac:dyDescent="0.4">
      <c r="A6910" s="4"/>
      <c r="B6910" s="4"/>
      <c r="D6910" s="4"/>
      <c r="E6910" s="4"/>
      <c r="F6910" s="4"/>
    </row>
    <row r="6911" spans="1:6" x14ac:dyDescent="0.4">
      <c r="A6911" s="4"/>
      <c r="B6911" s="4"/>
      <c r="D6911" s="4"/>
      <c r="E6911" s="4"/>
      <c r="F6911" s="4"/>
    </row>
    <row r="6912" spans="1:6" x14ac:dyDescent="0.4">
      <c r="A6912" s="4"/>
      <c r="B6912" s="4"/>
      <c r="D6912" s="4"/>
      <c r="E6912" s="4"/>
      <c r="F6912" s="4"/>
    </row>
    <row r="6913" spans="1:6" x14ac:dyDescent="0.4">
      <c r="A6913" s="4"/>
      <c r="B6913" s="4"/>
      <c r="D6913" s="4"/>
      <c r="E6913" s="4"/>
      <c r="F6913" s="4"/>
    </row>
    <row r="6914" spans="1:6" x14ac:dyDescent="0.4">
      <c r="A6914" s="4"/>
      <c r="B6914" s="4"/>
      <c r="D6914" s="4"/>
      <c r="E6914" s="4"/>
      <c r="F6914" s="4"/>
    </row>
    <row r="6915" spans="1:6" x14ac:dyDescent="0.4">
      <c r="A6915" s="4"/>
      <c r="B6915" s="4"/>
      <c r="D6915" s="4"/>
      <c r="E6915" s="4"/>
      <c r="F6915" s="4"/>
    </row>
    <row r="6916" spans="1:6" x14ac:dyDescent="0.4">
      <c r="A6916" s="4"/>
      <c r="B6916" s="4"/>
      <c r="D6916" s="4"/>
      <c r="E6916" s="4"/>
      <c r="F6916" s="4"/>
    </row>
    <row r="6917" spans="1:6" x14ac:dyDescent="0.4">
      <c r="A6917" s="4"/>
      <c r="B6917" s="4"/>
      <c r="D6917" s="4"/>
      <c r="E6917" s="4"/>
      <c r="F6917" s="4"/>
    </row>
    <row r="6918" spans="1:6" x14ac:dyDescent="0.4">
      <c r="A6918" s="4"/>
      <c r="B6918" s="4"/>
      <c r="D6918" s="4"/>
      <c r="E6918" s="4"/>
      <c r="F6918" s="4"/>
    </row>
    <row r="6919" spans="1:6" x14ac:dyDescent="0.4">
      <c r="A6919" s="4"/>
      <c r="B6919" s="4"/>
      <c r="D6919" s="4"/>
      <c r="E6919" s="4"/>
      <c r="F6919" s="4"/>
    </row>
    <row r="6920" spans="1:6" x14ac:dyDescent="0.4">
      <c r="A6920" s="4"/>
      <c r="B6920" s="4"/>
      <c r="D6920" s="4"/>
      <c r="E6920" s="4"/>
      <c r="F6920" s="4"/>
    </row>
    <row r="6921" spans="1:6" x14ac:dyDescent="0.4">
      <c r="A6921" s="4"/>
      <c r="B6921" s="4"/>
      <c r="D6921" s="4"/>
      <c r="E6921" s="4"/>
      <c r="F6921" s="4"/>
    </row>
    <row r="6922" spans="1:6" x14ac:dyDescent="0.4">
      <c r="A6922" s="4"/>
      <c r="B6922" s="4"/>
      <c r="D6922" s="4"/>
      <c r="E6922" s="4"/>
      <c r="F6922" s="4"/>
    </row>
    <row r="6923" spans="1:6" x14ac:dyDescent="0.4">
      <c r="A6923" s="4"/>
      <c r="B6923" s="4"/>
      <c r="D6923" s="4"/>
      <c r="E6923" s="4"/>
      <c r="F6923" s="4"/>
    </row>
    <row r="6924" spans="1:6" x14ac:dyDescent="0.4">
      <c r="A6924" s="4"/>
      <c r="B6924" s="4"/>
      <c r="D6924" s="4"/>
      <c r="E6924" s="4"/>
      <c r="F6924" s="4"/>
    </row>
    <row r="6925" spans="1:6" x14ac:dyDescent="0.4">
      <c r="A6925" s="4"/>
      <c r="B6925" s="4"/>
      <c r="D6925" s="4"/>
      <c r="E6925" s="4"/>
      <c r="F6925" s="4"/>
    </row>
    <row r="6926" spans="1:6" x14ac:dyDescent="0.4">
      <c r="A6926" s="4"/>
      <c r="B6926" s="4"/>
      <c r="D6926" s="4"/>
      <c r="E6926" s="4"/>
      <c r="F6926" s="4"/>
    </row>
    <row r="6927" spans="1:6" x14ac:dyDescent="0.4">
      <c r="A6927" s="4"/>
      <c r="B6927" s="4"/>
      <c r="D6927" s="4"/>
      <c r="E6927" s="4"/>
      <c r="F6927" s="4"/>
    </row>
    <row r="6928" spans="1:6" x14ac:dyDescent="0.4">
      <c r="A6928" s="4"/>
      <c r="B6928" s="4"/>
      <c r="D6928" s="4"/>
      <c r="E6928" s="4"/>
      <c r="F6928" s="4"/>
    </row>
    <row r="6929" spans="1:6" x14ac:dyDescent="0.4">
      <c r="A6929" s="4"/>
      <c r="B6929" s="4"/>
      <c r="D6929" s="4"/>
      <c r="E6929" s="4"/>
      <c r="F6929" s="4"/>
    </row>
    <row r="6930" spans="1:6" x14ac:dyDescent="0.4">
      <c r="A6930" s="4"/>
      <c r="B6930" s="4"/>
      <c r="D6930" s="4"/>
      <c r="E6930" s="4"/>
      <c r="F6930" s="4"/>
    </row>
    <row r="6931" spans="1:6" x14ac:dyDescent="0.4">
      <c r="A6931" s="4"/>
      <c r="B6931" s="4"/>
      <c r="D6931" s="4"/>
      <c r="E6931" s="4"/>
      <c r="F6931" s="4"/>
    </row>
    <row r="6932" spans="1:6" x14ac:dyDescent="0.4">
      <c r="A6932" s="4"/>
      <c r="B6932" s="4"/>
      <c r="D6932" s="4"/>
      <c r="E6932" s="4"/>
      <c r="F6932" s="4"/>
    </row>
    <row r="6933" spans="1:6" x14ac:dyDescent="0.4">
      <c r="A6933" s="4"/>
      <c r="B6933" s="4"/>
      <c r="D6933" s="4"/>
      <c r="E6933" s="4"/>
      <c r="F6933" s="4"/>
    </row>
    <row r="6934" spans="1:6" x14ac:dyDescent="0.4">
      <c r="A6934" s="4"/>
      <c r="B6934" s="4"/>
      <c r="D6934" s="4"/>
      <c r="E6934" s="4"/>
      <c r="F6934" s="4"/>
    </row>
    <row r="6935" spans="1:6" x14ac:dyDescent="0.4">
      <c r="A6935" s="4"/>
      <c r="B6935" s="4"/>
      <c r="D6935" s="4"/>
      <c r="E6935" s="4"/>
      <c r="F6935" s="4"/>
    </row>
    <row r="6936" spans="1:6" x14ac:dyDescent="0.4">
      <c r="A6936" s="4"/>
      <c r="B6936" s="4"/>
      <c r="D6936" s="4"/>
      <c r="E6936" s="4"/>
      <c r="F6936" s="4"/>
    </row>
    <row r="6937" spans="1:6" x14ac:dyDescent="0.4">
      <c r="A6937" s="4"/>
      <c r="B6937" s="4"/>
      <c r="D6937" s="4"/>
      <c r="E6937" s="4"/>
      <c r="F6937" s="4"/>
    </row>
    <row r="6938" spans="1:6" x14ac:dyDescent="0.4">
      <c r="A6938" s="4"/>
      <c r="B6938" s="4"/>
      <c r="D6938" s="4"/>
      <c r="E6938" s="4"/>
      <c r="F6938" s="4"/>
    </row>
    <row r="6939" spans="1:6" x14ac:dyDescent="0.4">
      <c r="A6939" s="4"/>
      <c r="B6939" s="4"/>
      <c r="D6939" s="4"/>
      <c r="E6939" s="4"/>
      <c r="F6939" s="4"/>
    </row>
    <row r="6940" spans="1:6" x14ac:dyDescent="0.4">
      <c r="A6940" s="4"/>
      <c r="B6940" s="4"/>
      <c r="D6940" s="4"/>
      <c r="E6940" s="4"/>
      <c r="F6940" s="4"/>
    </row>
    <row r="6941" spans="1:6" x14ac:dyDescent="0.4">
      <c r="A6941" s="4"/>
      <c r="B6941" s="4"/>
      <c r="D6941" s="4"/>
      <c r="E6941" s="4"/>
      <c r="F6941" s="4"/>
    </row>
    <row r="6942" spans="1:6" x14ac:dyDescent="0.4">
      <c r="A6942" s="4"/>
      <c r="B6942" s="4"/>
      <c r="D6942" s="4"/>
      <c r="E6942" s="4"/>
      <c r="F6942" s="4"/>
    </row>
    <row r="6943" spans="1:6" x14ac:dyDescent="0.4">
      <c r="A6943" s="4"/>
      <c r="B6943" s="4"/>
      <c r="D6943" s="4"/>
      <c r="E6943" s="4"/>
      <c r="F6943" s="4"/>
    </row>
    <row r="6944" spans="1:6" x14ac:dyDescent="0.4">
      <c r="A6944" s="4"/>
      <c r="B6944" s="4"/>
      <c r="D6944" s="4"/>
      <c r="E6944" s="4"/>
      <c r="F6944" s="4"/>
    </row>
    <row r="6945" spans="1:6" x14ac:dyDescent="0.4">
      <c r="A6945" s="4"/>
      <c r="B6945" s="4"/>
      <c r="D6945" s="4"/>
      <c r="E6945" s="4"/>
      <c r="F6945" s="4"/>
    </row>
    <row r="6946" spans="1:6" x14ac:dyDescent="0.4">
      <c r="A6946" s="4"/>
      <c r="B6946" s="4"/>
      <c r="D6946" s="4"/>
      <c r="E6946" s="4"/>
      <c r="F6946" s="4"/>
    </row>
    <row r="6947" spans="1:6" x14ac:dyDescent="0.4">
      <c r="A6947" s="4"/>
      <c r="B6947" s="4"/>
      <c r="D6947" s="4"/>
      <c r="E6947" s="4"/>
      <c r="F6947" s="4"/>
    </row>
    <row r="6948" spans="1:6" x14ac:dyDescent="0.4">
      <c r="A6948" s="4"/>
      <c r="B6948" s="4"/>
      <c r="D6948" s="4"/>
      <c r="E6948" s="4"/>
      <c r="F6948" s="4"/>
    </row>
    <row r="6949" spans="1:6" x14ac:dyDescent="0.4">
      <c r="A6949" s="4"/>
      <c r="B6949" s="4"/>
      <c r="D6949" s="4"/>
      <c r="E6949" s="4"/>
      <c r="F6949" s="4"/>
    </row>
    <row r="6950" spans="1:6" x14ac:dyDescent="0.4">
      <c r="A6950" s="4"/>
      <c r="B6950" s="4"/>
      <c r="D6950" s="4"/>
      <c r="E6950" s="4"/>
      <c r="F6950" s="4"/>
    </row>
    <row r="6951" spans="1:6" x14ac:dyDescent="0.4">
      <c r="A6951" s="4"/>
      <c r="B6951" s="4"/>
      <c r="D6951" s="4"/>
      <c r="E6951" s="4"/>
      <c r="F6951" s="4"/>
    </row>
    <row r="6952" spans="1:6" x14ac:dyDescent="0.4">
      <c r="A6952" s="4"/>
      <c r="B6952" s="4"/>
      <c r="D6952" s="4"/>
      <c r="E6952" s="4"/>
      <c r="F6952" s="4"/>
    </row>
    <row r="6953" spans="1:6" x14ac:dyDescent="0.4">
      <c r="A6953" s="4"/>
      <c r="B6953" s="4"/>
      <c r="D6953" s="4"/>
      <c r="E6953" s="4"/>
      <c r="F6953" s="4"/>
    </row>
    <row r="6954" spans="1:6" x14ac:dyDescent="0.4">
      <c r="A6954" s="4"/>
      <c r="B6954" s="4"/>
      <c r="D6954" s="4"/>
      <c r="E6954" s="4"/>
      <c r="F6954" s="4"/>
    </row>
    <row r="6955" spans="1:6" x14ac:dyDescent="0.4">
      <c r="A6955" s="4"/>
      <c r="B6955" s="4"/>
      <c r="D6955" s="4"/>
      <c r="E6955" s="4"/>
      <c r="F6955" s="4"/>
    </row>
    <row r="6956" spans="1:6" x14ac:dyDescent="0.4">
      <c r="A6956" s="4"/>
      <c r="B6956" s="4"/>
      <c r="D6956" s="4"/>
      <c r="E6956" s="4"/>
      <c r="F6956" s="4"/>
    </row>
    <row r="6957" spans="1:6" x14ac:dyDescent="0.4">
      <c r="A6957" s="4"/>
      <c r="B6957" s="4"/>
      <c r="D6957" s="4"/>
      <c r="E6957" s="4"/>
      <c r="F6957" s="4"/>
    </row>
    <row r="6958" spans="1:6" x14ac:dyDescent="0.4">
      <c r="A6958" s="4"/>
      <c r="B6958" s="4"/>
      <c r="D6958" s="4"/>
      <c r="E6958" s="4"/>
      <c r="F6958" s="4"/>
    </row>
    <row r="6959" spans="1:6" x14ac:dyDescent="0.4">
      <c r="A6959" s="4"/>
      <c r="B6959" s="4"/>
      <c r="D6959" s="4"/>
      <c r="E6959" s="4"/>
      <c r="F6959" s="4"/>
    </row>
    <row r="6960" spans="1:6" x14ac:dyDescent="0.4">
      <c r="A6960" s="4"/>
      <c r="B6960" s="4"/>
      <c r="D6960" s="4"/>
      <c r="E6960" s="4"/>
      <c r="F6960" s="4"/>
    </row>
    <row r="6961" spans="1:6" x14ac:dyDescent="0.4">
      <c r="A6961" s="4"/>
      <c r="B6961" s="4"/>
      <c r="D6961" s="4"/>
      <c r="E6961" s="4"/>
      <c r="F6961" s="4"/>
    </row>
    <row r="6962" spans="1:6" x14ac:dyDescent="0.4">
      <c r="A6962" s="4"/>
      <c r="B6962" s="4"/>
      <c r="D6962" s="4"/>
      <c r="E6962" s="4"/>
      <c r="F6962" s="4"/>
    </row>
    <row r="6963" spans="1:6" x14ac:dyDescent="0.4">
      <c r="A6963" s="4"/>
      <c r="B6963" s="4"/>
      <c r="D6963" s="4"/>
      <c r="E6963" s="4"/>
      <c r="F6963" s="4"/>
    </row>
    <row r="6964" spans="1:6" x14ac:dyDescent="0.4">
      <c r="A6964" s="4"/>
      <c r="B6964" s="4"/>
      <c r="D6964" s="4"/>
      <c r="E6964" s="4"/>
      <c r="F6964" s="4"/>
    </row>
    <row r="6965" spans="1:6" x14ac:dyDescent="0.4">
      <c r="A6965" s="4"/>
      <c r="B6965" s="4"/>
      <c r="D6965" s="4"/>
      <c r="E6965" s="4"/>
      <c r="F6965" s="4"/>
    </row>
    <row r="6966" spans="1:6" x14ac:dyDescent="0.4">
      <c r="A6966" s="4"/>
      <c r="B6966" s="4"/>
      <c r="D6966" s="4"/>
      <c r="E6966" s="4"/>
      <c r="F6966" s="4"/>
    </row>
    <row r="6967" spans="1:6" x14ac:dyDescent="0.4">
      <c r="A6967" s="4"/>
      <c r="B6967" s="4"/>
      <c r="D6967" s="4"/>
      <c r="E6967" s="4"/>
      <c r="F6967" s="4"/>
    </row>
    <row r="6968" spans="1:6" x14ac:dyDescent="0.4">
      <c r="A6968" s="4"/>
      <c r="B6968" s="4"/>
      <c r="D6968" s="4"/>
      <c r="E6968" s="4"/>
      <c r="F6968" s="4"/>
    </row>
    <row r="6969" spans="1:6" x14ac:dyDescent="0.4">
      <c r="A6969" s="4"/>
      <c r="B6969" s="4"/>
      <c r="D6969" s="4"/>
      <c r="E6969" s="4"/>
      <c r="F6969" s="4"/>
    </row>
    <row r="6970" spans="1:6" x14ac:dyDescent="0.4">
      <c r="A6970" s="4"/>
      <c r="B6970" s="4"/>
      <c r="D6970" s="4"/>
      <c r="E6970" s="4"/>
      <c r="F6970" s="4"/>
    </row>
    <row r="6971" spans="1:6" x14ac:dyDescent="0.4">
      <c r="A6971" s="4"/>
      <c r="B6971" s="4"/>
      <c r="D6971" s="4"/>
      <c r="E6971" s="4"/>
      <c r="F6971" s="4"/>
    </row>
    <row r="6972" spans="1:6" x14ac:dyDescent="0.4">
      <c r="A6972" s="4"/>
      <c r="B6972" s="4"/>
      <c r="D6972" s="4"/>
      <c r="E6972" s="4"/>
      <c r="F6972" s="4"/>
    </row>
    <row r="6973" spans="1:6" x14ac:dyDescent="0.4">
      <c r="A6973" s="4"/>
      <c r="B6973" s="4"/>
      <c r="D6973" s="4"/>
      <c r="E6973" s="4"/>
      <c r="F6973" s="4"/>
    </row>
    <row r="6974" spans="1:6" x14ac:dyDescent="0.4">
      <c r="A6974" s="4"/>
      <c r="B6974" s="4"/>
      <c r="D6974" s="4"/>
      <c r="E6974" s="4"/>
      <c r="F6974" s="4"/>
    </row>
    <row r="6975" spans="1:6" x14ac:dyDescent="0.4">
      <c r="A6975" s="4"/>
      <c r="B6975" s="4"/>
      <c r="D6975" s="4"/>
      <c r="E6975" s="4"/>
      <c r="F6975" s="4"/>
    </row>
    <row r="6976" spans="1:6" x14ac:dyDescent="0.4">
      <c r="A6976" s="4"/>
      <c r="B6976" s="4"/>
      <c r="D6976" s="4"/>
      <c r="E6976" s="4"/>
      <c r="F6976" s="4"/>
    </row>
    <row r="6977" spans="1:6" x14ac:dyDescent="0.4">
      <c r="A6977" s="4"/>
      <c r="B6977" s="4"/>
      <c r="D6977" s="4"/>
      <c r="E6977" s="4"/>
      <c r="F6977" s="4"/>
    </row>
    <row r="6978" spans="1:6" x14ac:dyDescent="0.4">
      <c r="A6978" s="4"/>
      <c r="B6978" s="4"/>
      <c r="D6978" s="4"/>
      <c r="E6978" s="4"/>
      <c r="F6978" s="4"/>
    </row>
    <row r="6979" spans="1:6" x14ac:dyDescent="0.4">
      <c r="A6979" s="4"/>
      <c r="B6979" s="4"/>
      <c r="D6979" s="4"/>
      <c r="E6979" s="4"/>
      <c r="F6979" s="4"/>
    </row>
    <row r="6980" spans="1:6" x14ac:dyDescent="0.4">
      <c r="A6980" s="4"/>
      <c r="B6980" s="4"/>
      <c r="D6980" s="4"/>
      <c r="E6980" s="4"/>
      <c r="F6980" s="4"/>
    </row>
    <row r="6981" spans="1:6" x14ac:dyDescent="0.4">
      <c r="A6981" s="4"/>
      <c r="B6981" s="4"/>
      <c r="D6981" s="4"/>
      <c r="E6981" s="4"/>
      <c r="F6981" s="4"/>
    </row>
    <row r="6982" spans="1:6" x14ac:dyDescent="0.4">
      <c r="A6982" s="4"/>
      <c r="B6982" s="4"/>
      <c r="D6982" s="4"/>
      <c r="E6982" s="4"/>
      <c r="F6982" s="4"/>
    </row>
    <row r="6983" spans="1:6" x14ac:dyDescent="0.4">
      <c r="A6983" s="4"/>
      <c r="B6983" s="4"/>
      <c r="D6983" s="4"/>
      <c r="E6983" s="4"/>
      <c r="F6983" s="4"/>
    </row>
    <row r="6984" spans="1:6" x14ac:dyDescent="0.4">
      <c r="A6984" s="4"/>
      <c r="B6984" s="4"/>
      <c r="D6984" s="4"/>
      <c r="E6984" s="4"/>
      <c r="F6984" s="4"/>
    </row>
    <row r="6985" spans="1:6" x14ac:dyDescent="0.4">
      <c r="A6985" s="4"/>
      <c r="B6985" s="4"/>
      <c r="D6985" s="4"/>
      <c r="E6985" s="4"/>
      <c r="F6985" s="4"/>
    </row>
    <row r="6986" spans="1:6" x14ac:dyDescent="0.4">
      <c r="A6986" s="4"/>
      <c r="B6986" s="4"/>
      <c r="D6986" s="4"/>
      <c r="E6986" s="4"/>
      <c r="F6986" s="4"/>
    </row>
    <row r="6987" spans="1:6" x14ac:dyDescent="0.4">
      <c r="A6987" s="4"/>
      <c r="B6987" s="4"/>
      <c r="D6987" s="4"/>
      <c r="E6987" s="4"/>
      <c r="F6987" s="4"/>
    </row>
    <row r="6988" spans="1:6" x14ac:dyDescent="0.4">
      <c r="A6988" s="4"/>
      <c r="B6988" s="4"/>
      <c r="D6988" s="4"/>
      <c r="E6988" s="4"/>
      <c r="F6988" s="4"/>
    </row>
    <row r="6989" spans="1:6" x14ac:dyDescent="0.4">
      <c r="A6989" s="4"/>
      <c r="B6989" s="4"/>
      <c r="D6989" s="4"/>
      <c r="E6989" s="4"/>
      <c r="F6989" s="4"/>
    </row>
    <row r="6990" spans="1:6" x14ac:dyDescent="0.4">
      <c r="A6990" s="4"/>
      <c r="B6990" s="4"/>
      <c r="D6990" s="4"/>
      <c r="E6990" s="4"/>
      <c r="F6990" s="4"/>
    </row>
    <row r="6991" spans="1:6" x14ac:dyDescent="0.4">
      <c r="A6991" s="4"/>
      <c r="B6991" s="4"/>
      <c r="D6991" s="4"/>
      <c r="E6991" s="4"/>
      <c r="F6991" s="4"/>
    </row>
    <row r="6992" spans="1:6" x14ac:dyDescent="0.4">
      <c r="A6992" s="4"/>
      <c r="B6992" s="4"/>
      <c r="D6992" s="4"/>
      <c r="E6992" s="4"/>
      <c r="F6992" s="4"/>
    </row>
    <row r="6993" spans="1:6" x14ac:dyDescent="0.4">
      <c r="A6993" s="4"/>
      <c r="B6993" s="4"/>
      <c r="D6993" s="4"/>
      <c r="E6993" s="4"/>
      <c r="F6993" s="4"/>
    </row>
    <row r="6994" spans="1:6" x14ac:dyDescent="0.4">
      <c r="A6994" s="4"/>
      <c r="B6994" s="4"/>
      <c r="D6994" s="4"/>
      <c r="E6994" s="4"/>
      <c r="F6994" s="4"/>
    </row>
    <row r="6995" spans="1:6" x14ac:dyDescent="0.4">
      <c r="A6995" s="4"/>
      <c r="B6995" s="4"/>
      <c r="D6995" s="4"/>
      <c r="E6995" s="4"/>
      <c r="F6995" s="4"/>
    </row>
    <row r="6996" spans="1:6" x14ac:dyDescent="0.4">
      <c r="A6996" s="4"/>
      <c r="B6996" s="4"/>
      <c r="D6996" s="4"/>
      <c r="E6996" s="4"/>
      <c r="F6996" s="4"/>
    </row>
    <row r="6997" spans="1:6" x14ac:dyDescent="0.4">
      <c r="A6997" s="4"/>
      <c r="B6997" s="4"/>
      <c r="D6997" s="4"/>
      <c r="E6997" s="4"/>
      <c r="F6997" s="4"/>
    </row>
    <row r="6998" spans="1:6" x14ac:dyDescent="0.4">
      <c r="A6998" s="4"/>
      <c r="B6998" s="4"/>
      <c r="D6998" s="4"/>
      <c r="E6998" s="4"/>
      <c r="F6998" s="4"/>
    </row>
    <row r="6999" spans="1:6" x14ac:dyDescent="0.4">
      <c r="A6999" s="4"/>
      <c r="B6999" s="4"/>
      <c r="D6999" s="4"/>
      <c r="E6999" s="4"/>
      <c r="F6999" s="4"/>
    </row>
    <row r="7000" spans="1:6" x14ac:dyDescent="0.4">
      <c r="A7000" s="4"/>
      <c r="B7000" s="4"/>
      <c r="D7000" s="4"/>
      <c r="E7000" s="4"/>
      <c r="F7000" s="4"/>
    </row>
    <row r="7001" spans="1:6" x14ac:dyDescent="0.4">
      <c r="A7001" s="4"/>
      <c r="B7001" s="4"/>
      <c r="D7001" s="4"/>
      <c r="E7001" s="4"/>
      <c r="F7001" s="4"/>
    </row>
    <row r="7002" spans="1:6" x14ac:dyDescent="0.4">
      <c r="A7002" s="4"/>
      <c r="B7002" s="4"/>
      <c r="D7002" s="4"/>
      <c r="E7002" s="4"/>
      <c r="F7002" s="4"/>
    </row>
    <row r="7003" spans="1:6" x14ac:dyDescent="0.4">
      <c r="A7003" s="4"/>
      <c r="B7003" s="4"/>
      <c r="D7003" s="4"/>
      <c r="E7003" s="4"/>
      <c r="F7003" s="4"/>
    </row>
    <row r="7004" spans="1:6" x14ac:dyDescent="0.4">
      <c r="A7004" s="4"/>
      <c r="B7004" s="4"/>
      <c r="D7004" s="4"/>
      <c r="E7004" s="4"/>
      <c r="F7004" s="4"/>
    </row>
    <row r="7005" spans="1:6" x14ac:dyDescent="0.4">
      <c r="A7005" s="4"/>
      <c r="B7005" s="4"/>
      <c r="D7005" s="4"/>
      <c r="E7005" s="4"/>
      <c r="F7005" s="4"/>
    </row>
    <row r="7006" spans="1:6" x14ac:dyDescent="0.4">
      <c r="A7006" s="4"/>
      <c r="B7006" s="4"/>
      <c r="D7006" s="4"/>
      <c r="E7006" s="4"/>
      <c r="F7006" s="4"/>
    </row>
    <row r="7007" spans="1:6" x14ac:dyDescent="0.4">
      <c r="A7007" s="4"/>
      <c r="B7007" s="4"/>
      <c r="D7007" s="4"/>
      <c r="E7007" s="4"/>
      <c r="F7007" s="4"/>
    </row>
    <row r="7008" spans="1:6" x14ac:dyDescent="0.4">
      <c r="A7008" s="4"/>
      <c r="B7008" s="4"/>
      <c r="D7008" s="4"/>
      <c r="E7008" s="4"/>
      <c r="F7008" s="4"/>
    </row>
    <row r="7009" spans="1:6" x14ac:dyDescent="0.4">
      <c r="A7009" s="4"/>
      <c r="B7009" s="4"/>
      <c r="D7009" s="4"/>
      <c r="E7009" s="4"/>
      <c r="F7009" s="4"/>
    </row>
    <row r="7010" spans="1:6" x14ac:dyDescent="0.4">
      <c r="A7010" s="4"/>
      <c r="B7010" s="4"/>
      <c r="D7010" s="4"/>
      <c r="E7010" s="4"/>
      <c r="F7010" s="4"/>
    </row>
    <row r="7011" spans="1:6" x14ac:dyDescent="0.4">
      <c r="A7011" s="4"/>
      <c r="B7011" s="4"/>
      <c r="D7011" s="4"/>
      <c r="E7011" s="4"/>
      <c r="F7011" s="4"/>
    </row>
    <row r="7012" spans="1:6" x14ac:dyDescent="0.4">
      <c r="A7012" s="4"/>
      <c r="B7012" s="4"/>
      <c r="D7012" s="4"/>
      <c r="E7012" s="4"/>
      <c r="F7012" s="4"/>
    </row>
    <row r="7013" spans="1:6" x14ac:dyDescent="0.4">
      <c r="A7013" s="4"/>
      <c r="B7013" s="4"/>
      <c r="D7013" s="4"/>
      <c r="E7013" s="4"/>
      <c r="F7013" s="4"/>
    </row>
    <row r="7014" spans="1:6" x14ac:dyDescent="0.4">
      <c r="A7014" s="4"/>
      <c r="B7014" s="4"/>
      <c r="D7014" s="4"/>
      <c r="E7014" s="4"/>
      <c r="F7014" s="4"/>
    </row>
    <row r="7015" spans="1:6" x14ac:dyDescent="0.4">
      <c r="A7015" s="4"/>
      <c r="B7015" s="4"/>
      <c r="D7015" s="4"/>
      <c r="E7015" s="4"/>
      <c r="F7015" s="4"/>
    </row>
    <row r="7016" spans="1:6" x14ac:dyDescent="0.4">
      <c r="A7016" s="4"/>
      <c r="B7016" s="4"/>
      <c r="D7016" s="4"/>
      <c r="E7016" s="4"/>
      <c r="F7016" s="4"/>
    </row>
    <row r="7017" spans="1:6" x14ac:dyDescent="0.4">
      <c r="A7017" s="4"/>
      <c r="B7017" s="4"/>
      <c r="D7017" s="4"/>
      <c r="E7017" s="4"/>
      <c r="F7017" s="4"/>
    </row>
    <row r="7018" spans="1:6" x14ac:dyDescent="0.4">
      <c r="A7018" s="4"/>
      <c r="B7018" s="4"/>
      <c r="D7018" s="4"/>
      <c r="E7018" s="4"/>
      <c r="F7018" s="4"/>
    </row>
    <row r="7019" spans="1:6" x14ac:dyDescent="0.4">
      <c r="A7019" s="4"/>
      <c r="B7019" s="4"/>
      <c r="D7019" s="4"/>
      <c r="E7019" s="4"/>
      <c r="F7019" s="4"/>
    </row>
    <row r="7020" spans="1:6" x14ac:dyDescent="0.4">
      <c r="A7020" s="4"/>
      <c r="B7020" s="4"/>
      <c r="D7020" s="4"/>
      <c r="E7020" s="4"/>
      <c r="F7020" s="4"/>
    </row>
    <row r="7021" spans="1:6" x14ac:dyDescent="0.4">
      <c r="A7021" s="4"/>
      <c r="B7021" s="4"/>
      <c r="D7021" s="4"/>
      <c r="E7021" s="4"/>
      <c r="F7021" s="4"/>
    </row>
    <row r="7022" spans="1:6" x14ac:dyDescent="0.4">
      <c r="A7022" s="4"/>
      <c r="B7022" s="4"/>
      <c r="D7022" s="4"/>
      <c r="E7022" s="4"/>
      <c r="F7022" s="4"/>
    </row>
    <row r="7023" spans="1:6" x14ac:dyDescent="0.4">
      <c r="A7023" s="4"/>
      <c r="B7023" s="4"/>
      <c r="D7023" s="4"/>
      <c r="E7023" s="4"/>
      <c r="F7023" s="4"/>
    </row>
    <row r="7024" spans="1:6" x14ac:dyDescent="0.4">
      <c r="A7024" s="4"/>
      <c r="B7024" s="4"/>
      <c r="D7024" s="4"/>
      <c r="E7024" s="4"/>
      <c r="F7024" s="4"/>
    </row>
    <row r="7025" spans="1:6" x14ac:dyDescent="0.4">
      <c r="A7025" s="4"/>
      <c r="B7025" s="4"/>
      <c r="D7025" s="4"/>
      <c r="E7025" s="4"/>
      <c r="F7025" s="4"/>
    </row>
    <row r="7026" spans="1:6" x14ac:dyDescent="0.4">
      <c r="A7026" s="4"/>
      <c r="B7026" s="4"/>
      <c r="D7026" s="4"/>
      <c r="E7026" s="4"/>
      <c r="F7026" s="4"/>
    </row>
    <row r="7027" spans="1:6" x14ac:dyDescent="0.4">
      <c r="A7027" s="4"/>
      <c r="B7027" s="4"/>
      <c r="D7027" s="4"/>
      <c r="E7027" s="4"/>
      <c r="F7027" s="4"/>
    </row>
    <row r="7028" spans="1:6" x14ac:dyDescent="0.4">
      <c r="A7028" s="4"/>
      <c r="B7028" s="4"/>
      <c r="D7028" s="4"/>
      <c r="E7028" s="4"/>
      <c r="F7028" s="4"/>
    </row>
    <row r="7029" spans="1:6" x14ac:dyDescent="0.4">
      <c r="A7029" s="4"/>
      <c r="B7029" s="4"/>
      <c r="D7029" s="4"/>
      <c r="E7029" s="4"/>
      <c r="F7029" s="4"/>
    </row>
    <row r="7030" spans="1:6" x14ac:dyDescent="0.4">
      <c r="A7030" s="4"/>
      <c r="B7030" s="4"/>
      <c r="D7030" s="4"/>
      <c r="E7030" s="4"/>
      <c r="F7030" s="4"/>
    </row>
    <row r="7031" spans="1:6" x14ac:dyDescent="0.4">
      <c r="A7031" s="4"/>
      <c r="B7031" s="4"/>
      <c r="D7031" s="4"/>
      <c r="E7031" s="4"/>
      <c r="F7031" s="4"/>
    </row>
    <row r="7032" spans="1:6" x14ac:dyDescent="0.4">
      <c r="A7032" s="4"/>
      <c r="B7032" s="4"/>
      <c r="D7032" s="4"/>
      <c r="E7032" s="4"/>
      <c r="F7032" s="4"/>
    </row>
    <row r="7033" spans="1:6" x14ac:dyDescent="0.4">
      <c r="A7033" s="4"/>
      <c r="B7033" s="4"/>
      <c r="D7033" s="4"/>
      <c r="E7033" s="4"/>
      <c r="F7033" s="4"/>
    </row>
    <row r="7034" spans="1:6" x14ac:dyDescent="0.4">
      <c r="A7034" s="4"/>
      <c r="B7034" s="4"/>
      <c r="D7034" s="4"/>
      <c r="E7034" s="4"/>
      <c r="F7034" s="4"/>
    </row>
    <row r="7035" spans="1:6" x14ac:dyDescent="0.4">
      <c r="A7035" s="4"/>
      <c r="B7035" s="4"/>
      <c r="D7035" s="4"/>
      <c r="E7035" s="4"/>
      <c r="F7035" s="4"/>
    </row>
    <row r="7036" spans="1:6" x14ac:dyDescent="0.4">
      <c r="A7036" s="4"/>
      <c r="B7036" s="4"/>
      <c r="D7036" s="4"/>
      <c r="E7036" s="4"/>
      <c r="F7036" s="4"/>
    </row>
    <row r="7037" spans="1:6" x14ac:dyDescent="0.4">
      <c r="A7037" s="4"/>
      <c r="B7037" s="4"/>
      <c r="D7037" s="4"/>
      <c r="E7037" s="4"/>
      <c r="F7037" s="4"/>
    </row>
    <row r="7038" spans="1:6" x14ac:dyDescent="0.4">
      <c r="A7038" s="4"/>
      <c r="B7038" s="4"/>
      <c r="D7038" s="4"/>
      <c r="E7038" s="4"/>
      <c r="F7038" s="4"/>
    </row>
    <row r="7039" spans="1:6" x14ac:dyDescent="0.4">
      <c r="A7039" s="4"/>
      <c r="B7039" s="4"/>
      <c r="D7039" s="4"/>
      <c r="E7039" s="4"/>
      <c r="F7039" s="4"/>
    </row>
    <row r="7040" spans="1:6" x14ac:dyDescent="0.4">
      <c r="A7040" s="4"/>
      <c r="B7040" s="4"/>
      <c r="D7040" s="4"/>
      <c r="E7040" s="4"/>
      <c r="F7040" s="4"/>
    </row>
    <row r="7041" spans="1:6" x14ac:dyDescent="0.4">
      <c r="A7041" s="4"/>
      <c r="B7041" s="4"/>
      <c r="D7041" s="4"/>
      <c r="E7041" s="4"/>
      <c r="F7041" s="4"/>
    </row>
    <row r="7042" spans="1:6" x14ac:dyDescent="0.4">
      <c r="A7042" s="4"/>
      <c r="B7042" s="4"/>
      <c r="D7042" s="4"/>
      <c r="E7042" s="4"/>
      <c r="F7042" s="4"/>
    </row>
    <row r="7043" spans="1:6" x14ac:dyDescent="0.4">
      <c r="A7043" s="4"/>
      <c r="B7043" s="4"/>
      <c r="D7043" s="4"/>
      <c r="E7043" s="4"/>
      <c r="F7043" s="4"/>
    </row>
    <row r="7044" spans="1:6" x14ac:dyDescent="0.4">
      <c r="A7044" s="4"/>
      <c r="B7044" s="4"/>
      <c r="D7044" s="4"/>
      <c r="E7044" s="4"/>
      <c r="F7044" s="4"/>
    </row>
    <row r="7045" spans="1:6" x14ac:dyDescent="0.4">
      <c r="A7045" s="4"/>
      <c r="B7045" s="4"/>
      <c r="D7045" s="4"/>
      <c r="E7045" s="4"/>
      <c r="F7045" s="4"/>
    </row>
    <row r="7046" spans="1:6" x14ac:dyDescent="0.4">
      <c r="A7046" s="4"/>
      <c r="B7046" s="4"/>
      <c r="D7046" s="4"/>
      <c r="E7046" s="4"/>
      <c r="F7046" s="4"/>
    </row>
    <row r="7047" spans="1:6" x14ac:dyDescent="0.4">
      <c r="A7047" s="4"/>
      <c r="B7047" s="4"/>
      <c r="D7047" s="4"/>
      <c r="E7047" s="4"/>
      <c r="F7047" s="4"/>
    </row>
    <row r="7048" spans="1:6" x14ac:dyDescent="0.4">
      <c r="A7048" s="4"/>
      <c r="B7048" s="4"/>
      <c r="D7048" s="4"/>
      <c r="E7048" s="4"/>
      <c r="F7048" s="4"/>
    </row>
    <row r="7049" spans="1:6" x14ac:dyDescent="0.4">
      <c r="A7049" s="4"/>
      <c r="B7049" s="4"/>
      <c r="D7049" s="4"/>
      <c r="E7049" s="4"/>
      <c r="F7049" s="4"/>
    </row>
    <row r="7050" spans="1:6" x14ac:dyDescent="0.4">
      <c r="A7050" s="4"/>
      <c r="B7050" s="4"/>
      <c r="D7050" s="4"/>
      <c r="E7050" s="4"/>
      <c r="F7050" s="4"/>
    </row>
    <row r="7051" spans="1:6" x14ac:dyDescent="0.4">
      <c r="A7051" s="4"/>
      <c r="B7051" s="4"/>
      <c r="D7051" s="4"/>
      <c r="E7051" s="4"/>
      <c r="F7051" s="4"/>
    </row>
    <row r="7052" spans="1:6" x14ac:dyDescent="0.4">
      <c r="A7052" s="4"/>
      <c r="B7052" s="4"/>
      <c r="D7052" s="4"/>
      <c r="E7052" s="4"/>
      <c r="F7052" s="4"/>
    </row>
    <row r="7053" spans="1:6" x14ac:dyDescent="0.4">
      <c r="A7053" s="4"/>
      <c r="B7053" s="4"/>
      <c r="D7053" s="4"/>
      <c r="E7053" s="4"/>
      <c r="F7053" s="4"/>
    </row>
    <row r="7054" spans="1:6" x14ac:dyDescent="0.4">
      <c r="A7054" s="4"/>
      <c r="B7054" s="4"/>
      <c r="D7054" s="4"/>
      <c r="E7054" s="4"/>
      <c r="F7054" s="4"/>
    </row>
    <row r="7055" spans="1:6" x14ac:dyDescent="0.4">
      <c r="A7055" s="4"/>
      <c r="B7055" s="4"/>
      <c r="D7055" s="4"/>
      <c r="E7055" s="4"/>
      <c r="F7055" s="4"/>
    </row>
    <row r="7056" spans="1:6" x14ac:dyDescent="0.4">
      <c r="A7056" s="4"/>
      <c r="B7056" s="4"/>
      <c r="D7056" s="4"/>
      <c r="E7056" s="4"/>
      <c r="F7056" s="4"/>
    </row>
    <row r="7057" spans="1:6" x14ac:dyDescent="0.4">
      <c r="A7057" s="4"/>
      <c r="B7057" s="4"/>
      <c r="D7057" s="4"/>
      <c r="E7057" s="4"/>
      <c r="F7057" s="4"/>
    </row>
    <row r="7058" spans="1:6" x14ac:dyDescent="0.4">
      <c r="A7058" s="4"/>
      <c r="B7058" s="4"/>
      <c r="D7058" s="4"/>
      <c r="E7058" s="4"/>
      <c r="F7058" s="4"/>
    </row>
    <row r="7059" spans="1:6" x14ac:dyDescent="0.4">
      <c r="A7059" s="4"/>
      <c r="B7059" s="4"/>
      <c r="D7059" s="4"/>
      <c r="E7059" s="4"/>
      <c r="F7059" s="4"/>
    </row>
    <row r="7060" spans="1:6" x14ac:dyDescent="0.4">
      <c r="A7060" s="4"/>
      <c r="B7060" s="4"/>
      <c r="D7060" s="4"/>
      <c r="E7060" s="4"/>
      <c r="F7060" s="4"/>
    </row>
    <row r="7061" spans="1:6" x14ac:dyDescent="0.4">
      <c r="A7061" s="4"/>
      <c r="B7061" s="4"/>
      <c r="D7061" s="4"/>
      <c r="E7061" s="4"/>
      <c r="F7061" s="4"/>
    </row>
    <row r="7062" spans="1:6" x14ac:dyDescent="0.4">
      <c r="A7062" s="4"/>
      <c r="B7062" s="4"/>
      <c r="D7062" s="4"/>
      <c r="E7062" s="4"/>
      <c r="F7062" s="4"/>
    </row>
    <row r="7063" spans="1:6" x14ac:dyDescent="0.4">
      <c r="A7063" s="4"/>
      <c r="B7063" s="4"/>
      <c r="D7063" s="4"/>
      <c r="E7063" s="4"/>
      <c r="F7063" s="4"/>
    </row>
    <row r="7064" spans="1:6" x14ac:dyDescent="0.4">
      <c r="A7064" s="4"/>
      <c r="B7064" s="4"/>
      <c r="D7064" s="4"/>
      <c r="E7064" s="4"/>
      <c r="F7064" s="4"/>
    </row>
    <row r="7065" spans="1:6" x14ac:dyDescent="0.4">
      <c r="A7065" s="4"/>
      <c r="B7065" s="4"/>
      <c r="D7065" s="4"/>
      <c r="E7065" s="4"/>
      <c r="F7065" s="4"/>
    </row>
    <row r="7066" spans="1:6" x14ac:dyDescent="0.4">
      <c r="A7066" s="4"/>
      <c r="B7066" s="4"/>
      <c r="D7066" s="4"/>
      <c r="E7066" s="4"/>
      <c r="F7066" s="4"/>
    </row>
    <row r="7067" spans="1:6" x14ac:dyDescent="0.4">
      <c r="A7067" s="4"/>
      <c r="B7067" s="4"/>
      <c r="D7067" s="4"/>
      <c r="E7067" s="4"/>
      <c r="F7067" s="4"/>
    </row>
    <row r="7068" spans="1:6" x14ac:dyDescent="0.4">
      <c r="A7068" s="4"/>
      <c r="B7068" s="4"/>
      <c r="D7068" s="4"/>
      <c r="E7068" s="4"/>
      <c r="F7068" s="4"/>
    </row>
    <row r="7069" spans="1:6" x14ac:dyDescent="0.4">
      <c r="A7069" s="4"/>
      <c r="B7069" s="4"/>
      <c r="D7069" s="4"/>
      <c r="E7069" s="4"/>
      <c r="F7069" s="4"/>
    </row>
    <row r="7070" spans="1:6" x14ac:dyDescent="0.4">
      <c r="A7070" s="4"/>
      <c r="B7070" s="4"/>
      <c r="D7070" s="4"/>
      <c r="E7070" s="4"/>
      <c r="F7070" s="4"/>
    </row>
    <row r="7071" spans="1:6" x14ac:dyDescent="0.4">
      <c r="A7071" s="4"/>
      <c r="B7071" s="4"/>
      <c r="D7071" s="4"/>
      <c r="E7071" s="4"/>
      <c r="F7071" s="4"/>
    </row>
    <row r="7072" spans="1:6" x14ac:dyDescent="0.4">
      <c r="A7072" s="4"/>
      <c r="B7072" s="4"/>
      <c r="D7072" s="4"/>
      <c r="E7072" s="4"/>
      <c r="F7072" s="4"/>
    </row>
    <row r="7073" spans="1:6" x14ac:dyDescent="0.4">
      <c r="A7073" s="4"/>
      <c r="B7073" s="4"/>
      <c r="D7073" s="4"/>
      <c r="E7073" s="4"/>
      <c r="F7073" s="4"/>
    </row>
    <row r="7074" spans="1:6" x14ac:dyDescent="0.4">
      <c r="A7074" s="4"/>
      <c r="B7074" s="4"/>
      <c r="D7074" s="4"/>
      <c r="E7074" s="4"/>
      <c r="F7074" s="4"/>
    </row>
    <row r="7075" spans="1:6" x14ac:dyDescent="0.4">
      <c r="A7075" s="4"/>
      <c r="B7075" s="4"/>
      <c r="D7075" s="4"/>
      <c r="E7075" s="4"/>
      <c r="F7075" s="4"/>
    </row>
    <row r="7076" spans="1:6" x14ac:dyDescent="0.4">
      <c r="A7076" s="4"/>
      <c r="B7076" s="4"/>
      <c r="D7076" s="4"/>
      <c r="E7076" s="4"/>
      <c r="F7076" s="4"/>
    </row>
    <row r="7077" spans="1:6" x14ac:dyDescent="0.4">
      <c r="A7077" s="4"/>
      <c r="B7077" s="4"/>
      <c r="D7077" s="4"/>
      <c r="E7077" s="4"/>
      <c r="F7077" s="4"/>
    </row>
    <row r="7078" spans="1:6" x14ac:dyDescent="0.4">
      <c r="A7078" s="4"/>
      <c r="B7078" s="4"/>
      <c r="D7078" s="4"/>
      <c r="E7078" s="4"/>
      <c r="F7078" s="4"/>
    </row>
    <row r="7079" spans="1:6" x14ac:dyDescent="0.4">
      <c r="A7079" s="4"/>
      <c r="B7079" s="4"/>
      <c r="D7079" s="4"/>
      <c r="E7079" s="4"/>
      <c r="F7079" s="4"/>
    </row>
    <row r="7080" spans="1:6" x14ac:dyDescent="0.4">
      <c r="A7080" s="4"/>
      <c r="B7080" s="4"/>
      <c r="D7080" s="4"/>
      <c r="E7080" s="4"/>
      <c r="F7080" s="4"/>
    </row>
    <row r="7081" spans="1:6" x14ac:dyDescent="0.4">
      <c r="A7081" s="4"/>
      <c r="B7081" s="4"/>
      <c r="D7081" s="4"/>
      <c r="E7081" s="4"/>
      <c r="F7081" s="4"/>
    </row>
    <row r="7082" spans="1:6" x14ac:dyDescent="0.4">
      <c r="A7082" s="4"/>
      <c r="B7082" s="4"/>
      <c r="D7082" s="4"/>
      <c r="E7082" s="4"/>
      <c r="F7082" s="4"/>
    </row>
    <row r="7083" spans="1:6" x14ac:dyDescent="0.4">
      <c r="A7083" s="4"/>
      <c r="B7083" s="4"/>
      <c r="D7083" s="4"/>
      <c r="E7083" s="4"/>
      <c r="F7083" s="4"/>
    </row>
    <row r="7084" spans="1:6" x14ac:dyDescent="0.4">
      <c r="A7084" s="4"/>
      <c r="B7084" s="4"/>
      <c r="D7084" s="4"/>
      <c r="E7084" s="4"/>
      <c r="F7084" s="4"/>
    </row>
    <row r="7085" spans="1:6" x14ac:dyDescent="0.4">
      <c r="A7085" s="4"/>
      <c r="B7085" s="4"/>
      <c r="D7085" s="4"/>
      <c r="E7085" s="4"/>
      <c r="F7085" s="4"/>
    </row>
    <row r="7086" spans="1:6" x14ac:dyDescent="0.4">
      <c r="A7086" s="4"/>
      <c r="B7086" s="4"/>
      <c r="D7086" s="4"/>
      <c r="E7086" s="4"/>
      <c r="F7086" s="4"/>
    </row>
    <row r="7087" spans="1:6" x14ac:dyDescent="0.4">
      <c r="A7087" s="4"/>
      <c r="B7087" s="4"/>
      <c r="D7087" s="4"/>
      <c r="E7087" s="4"/>
      <c r="F7087" s="4"/>
    </row>
    <row r="7088" spans="1:6" x14ac:dyDescent="0.4">
      <c r="A7088" s="4"/>
      <c r="B7088" s="4"/>
      <c r="D7088" s="4"/>
      <c r="E7088" s="4"/>
      <c r="F7088" s="4"/>
    </row>
    <row r="7089" spans="1:6" x14ac:dyDescent="0.4">
      <c r="A7089" s="4"/>
      <c r="B7089" s="4"/>
      <c r="D7089" s="4"/>
      <c r="E7089" s="4"/>
      <c r="F7089" s="4"/>
    </row>
    <row r="7090" spans="1:6" x14ac:dyDescent="0.4">
      <c r="A7090" s="4"/>
      <c r="B7090" s="4"/>
      <c r="D7090" s="4"/>
      <c r="E7090" s="4"/>
      <c r="F7090" s="4"/>
    </row>
    <row r="7091" spans="1:6" x14ac:dyDescent="0.4">
      <c r="A7091" s="4"/>
      <c r="B7091" s="4"/>
      <c r="D7091" s="4"/>
      <c r="E7091" s="4"/>
      <c r="F7091" s="4"/>
    </row>
    <row r="7092" spans="1:6" x14ac:dyDescent="0.4">
      <c r="A7092" s="4"/>
      <c r="B7092" s="4"/>
      <c r="D7092" s="4"/>
      <c r="E7092" s="4"/>
      <c r="F7092" s="4"/>
    </row>
    <row r="7093" spans="1:6" x14ac:dyDescent="0.4">
      <c r="A7093" s="4"/>
      <c r="B7093" s="4"/>
      <c r="D7093" s="4"/>
      <c r="E7093" s="4"/>
      <c r="F7093" s="4"/>
    </row>
    <row r="7094" spans="1:6" x14ac:dyDescent="0.4">
      <c r="A7094" s="4"/>
      <c r="B7094" s="4"/>
      <c r="D7094" s="4"/>
      <c r="E7094" s="4"/>
      <c r="F7094" s="4"/>
    </row>
    <row r="7095" spans="1:6" x14ac:dyDescent="0.4">
      <c r="A7095" s="4"/>
      <c r="B7095" s="4"/>
      <c r="D7095" s="4"/>
      <c r="E7095" s="4"/>
      <c r="F7095" s="4"/>
    </row>
    <row r="7096" spans="1:6" x14ac:dyDescent="0.4">
      <c r="A7096" s="4"/>
      <c r="B7096" s="4"/>
      <c r="D7096" s="4"/>
      <c r="E7096" s="4"/>
      <c r="F7096" s="4"/>
    </row>
    <row r="7097" spans="1:6" x14ac:dyDescent="0.4">
      <c r="A7097" s="4"/>
      <c r="B7097" s="4"/>
      <c r="D7097" s="4"/>
      <c r="E7097" s="4"/>
      <c r="F7097" s="4"/>
    </row>
    <row r="7098" spans="1:6" x14ac:dyDescent="0.4">
      <c r="A7098" s="4"/>
      <c r="B7098" s="4"/>
      <c r="D7098" s="4"/>
      <c r="E7098" s="4"/>
      <c r="F7098" s="4"/>
    </row>
    <row r="7099" spans="1:6" x14ac:dyDescent="0.4">
      <c r="A7099" s="4"/>
      <c r="B7099" s="4"/>
      <c r="D7099" s="4"/>
      <c r="E7099" s="4"/>
      <c r="F7099" s="4"/>
    </row>
    <row r="7100" spans="1:6" x14ac:dyDescent="0.4">
      <c r="A7100" s="4"/>
      <c r="B7100" s="4"/>
      <c r="D7100" s="4"/>
      <c r="E7100" s="4"/>
      <c r="F7100" s="4"/>
    </row>
    <row r="7101" spans="1:6" x14ac:dyDescent="0.4">
      <c r="A7101" s="4"/>
      <c r="B7101" s="4"/>
      <c r="D7101" s="4"/>
      <c r="E7101" s="4"/>
      <c r="F7101" s="4"/>
    </row>
    <row r="7102" spans="1:6" x14ac:dyDescent="0.4">
      <c r="A7102" s="4"/>
      <c r="B7102" s="4"/>
      <c r="D7102" s="4"/>
      <c r="E7102" s="4"/>
      <c r="F7102" s="4"/>
    </row>
    <row r="7103" spans="1:6" x14ac:dyDescent="0.4">
      <c r="A7103" s="4"/>
      <c r="B7103" s="4"/>
      <c r="D7103" s="4"/>
      <c r="E7103" s="4"/>
      <c r="F7103" s="4"/>
    </row>
    <row r="7104" spans="1:6" x14ac:dyDescent="0.4">
      <c r="A7104" s="4"/>
      <c r="B7104" s="4"/>
      <c r="D7104" s="4"/>
      <c r="E7104" s="4"/>
      <c r="F7104" s="4"/>
    </row>
    <row r="7105" spans="1:6" x14ac:dyDescent="0.4">
      <c r="A7105" s="4"/>
      <c r="B7105" s="4"/>
      <c r="D7105" s="4"/>
      <c r="E7105" s="4"/>
      <c r="F7105" s="4"/>
    </row>
    <row r="7106" spans="1:6" x14ac:dyDescent="0.4">
      <c r="A7106" s="4"/>
      <c r="B7106" s="4"/>
      <c r="D7106" s="4"/>
      <c r="E7106" s="4"/>
      <c r="F7106" s="4"/>
    </row>
    <row r="7107" spans="1:6" x14ac:dyDescent="0.4">
      <c r="A7107" s="4"/>
      <c r="B7107" s="4"/>
      <c r="D7107" s="4"/>
      <c r="E7107" s="4"/>
      <c r="F7107" s="4"/>
    </row>
    <row r="7108" spans="1:6" x14ac:dyDescent="0.4">
      <c r="A7108" s="4"/>
      <c r="B7108" s="4"/>
      <c r="D7108" s="4"/>
      <c r="E7108" s="4"/>
      <c r="F7108" s="4"/>
    </row>
    <row r="7109" spans="1:6" x14ac:dyDescent="0.4">
      <c r="A7109" s="4"/>
      <c r="B7109" s="4"/>
      <c r="D7109" s="4"/>
      <c r="E7109" s="4"/>
      <c r="F7109" s="4"/>
    </row>
    <row r="7110" spans="1:6" x14ac:dyDescent="0.4">
      <c r="A7110" s="4"/>
      <c r="B7110" s="4"/>
      <c r="D7110" s="4"/>
      <c r="E7110" s="4"/>
      <c r="F7110" s="4"/>
    </row>
    <row r="7111" spans="1:6" x14ac:dyDescent="0.4">
      <c r="A7111" s="4"/>
      <c r="B7111" s="4"/>
      <c r="D7111" s="4"/>
      <c r="E7111" s="4"/>
      <c r="F7111" s="4"/>
    </row>
    <row r="7112" spans="1:6" x14ac:dyDescent="0.4">
      <c r="A7112" s="4"/>
      <c r="B7112" s="4"/>
      <c r="D7112" s="4"/>
      <c r="E7112" s="4"/>
      <c r="F7112" s="4"/>
    </row>
    <row r="7113" spans="1:6" x14ac:dyDescent="0.4">
      <c r="A7113" s="4"/>
      <c r="B7113" s="4"/>
      <c r="D7113" s="4"/>
      <c r="E7113" s="4"/>
      <c r="F7113" s="4"/>
    </row>
    <row r="7114" spans="1:6" x14ac:dyDescent="0.4">
      <c r="A7114" s="4"/>
      <c r="B7114" s="4"/>
      <c r="D7114" s="4"/>
      <c r="E7114" s="4"/>
      <c r="F7114" s="4"/>
    </row>
    <row r="7115" spans="1:6" x14ac:dyDescent="0.4">
      <c r="A7115" s="4"/>
      <c r="B7115" s="4"/>
      <c r="D7115" s="4"/>
      <c r="E7115" s="4"/>
      <c r="F7115" s="4"/>
    </row>
    <row r="7116" spans="1:6" x14ac:dyDescent="0.4">
      <c r="A7116" s="4"/>
      <c r="B7116" s="4"/>
      <c r="D7116" s="4"/>
      <c r="E7116" s="4"/>
      <c r="F7116" s="4"/>
    </row>
    <row r="7117" spans="1:6" x14ac:dyDescent="0.4">
      <c r="A7117" s="4"/>
      <c r="B7117" s="4"/>
      <c r="D7117" s="4"/>
      <c r="E7117" s="4"/>
      <c r="F7117" s="4"/>
    </row>
    <row r="7118" spans="1:6" x14ac:dyDescent="0.4">
      <c r="A7118" s="4"/>
      <c r="B7118" s="4"/>
      <c r="D7118" s="4"/>
      <c r="E7118" s="4"/>
      <c r="F7118" s="4"/>
    </row>
    <row r="7119" spans="1:6" x14ac:dyDescent="0.4">
      <c r="A7119" s="4"/>
      <c r="B7119" s="4"/>
      <c r="D7119" s="4"/>
      <c r="E7119" s="4"/>
      <c r="F7119" s="4"/>
    </row>
    <row r="7120" spans="1:6" x14ac:dyDescent="0.4">
      <c r="A7120" s="4"/>
      <c r="B7120" s="4"/>
      <c r="D7120" s="4"/>
      <c r="E7120" s="4"/>
      <c r="F7120" s="4"/>
    </row>
    <row r="7121" spans="1:6" x14ac:dyDescent="0.4">
      <c r="A7121" s="4"/>
      <c r="B7121" s="4"/>
      <c r="D7121" s="4"/>
      <c r="E7121" s="4"/>
      <c r="F7121" s="4"/>
    </row>
    <row r="7122" spans="1:6" x14ac:dyDescent="0.4">
      <c r="A7122" s="4"/>
      <c r="B7122" s="4"/>
      <c r="D7122" s="4"/>
      <c r="E7122" s="4"/>
      <c r="F7122" s="4"/>
    </row>
    <row r="7123" spans="1:6" x14ac:dyDescent="0.4">
      <c r="A7123" s="4"/>
      <c r="B7123" s="4"/>
      <c r="D7123" s="4"/>
      <c r="E7123" s="4"/>
      <c r="F7123" s="4"/>
    </row>
    <row r="7124" spans="1:6" x14ac:dyDescent="0.4">
      <c r="A7124" s="4"/>
      <c r="B7124" s="4"/>
      <c r="D7124" s="4"/>
      <c r="E7124" s="4"/>
      <c r="F7124" s="4"/>
    </row>
    <row r="7125" spans="1:6" x14ac:dyDescent="0.4">
      <c r="A7125" s="4"/>
      <c r="B7125" s="4"/>
      <c r="D7125" s="4"/>
      <c r="E7125" s="4"/>
      <c r="F7125" s="4"/>
    </row>
    <row r="7126" spans="1:6" x14ac:dyDescent="0.4">
      <c r="A7126" s="4"/>
      <c r="B7126" s="4"/>
      <c r="D7126" s="4"/>
      <c r="E7126" s="4"/>
      <c r="F7126" s="4"/>
    </row>
    <row r="7127" spans="1:6" x14ac:dyDescent="0.4">
      <c r="A7127" s="4"/>
      <c r="B7127" s="4"/>
      <c r="D7127" s="4"/>
      <c r="E7127" s="4"/>
      <c r="F7127" s="4"/>
    </row>
    <row r="7128" spans="1:6" x14ac:dyDescent="0.4">
      <c r="A7128" s="4"/>
      <c r="B7128" s="4"/>
      <c r="D7128" s="4"/>
      <c r="E7128" s="4"/>
      <c r="F7128" s="4"/>
    </row>
    <row r="7129" spans="1:6" x14ac:dyDescent="0.4">
      <c r="A7129" s="4"/>
      <c r="B7129" s="4"/>
      <c r="D7129" s="4"/>
      <c r="E7129" s="4"/>
      <c r="F7129" s="4"/>
    </row>
    <row r="7130" spans="1:6" x14ac:dyDescent="0.4">
      <c r="A7130" s="4"/>
      <c r="B7130" s="4"/>
      <c r="D7130" s="4"/>
      <c r="E7130" s="4"/>
      <c r="F7130" s="4"/>
    </row>
    <row r="7131" spans="1:6" x14ac:dyDescent="0.4">
      <c r="A7131" s="4"/>
      <c r="B7131" s="4"/>
      <c r="D7131" s="4"/>
      <c r="E7131" s="4"/>
      <c r="F7131" s="4"/>
    </row>
    <row r="7132" spans="1:6" x14ac:dyDescent="0.4">
      <c r="A7132" s="4"/>
      <c r="B7132" s="4"/>
      <c r="D7132" s="4"/>
      <c r="E7132" s="4"/>
      <c r="F7132" s="4"/>
    </row>
    <row r="7133" spans="1:6" x14ac:dyDescent="0.4">
      <c r="A7133" s="4"/>
      <c r="B7133" s="4"/>
      <c r="D7133" s="4"/>
      <c r="E7133" s="4"/>
      <c r="F7133" s="4"/>
    </row>
    <row r="7134" spans="1:6" x14ac:dyDescent="0.4">
      <c r="A7134" s="4"/>
      <c r="B7134" s="4"/>
      <c r="D7134" s="4"/>
      <c r="E7134" s="4"/>
      <c r="F7134" s="4"/>
    </row>
    <row r="7135" spans="1:6" x14ac:dyDescent="0.4">
      <c r="A7135" s="4"/>
      <c r="B7135" s="4"/>
      <c r="D7135" s="4"/>
      <c r="E7135" s="4"/>
      <c r="F7135" s="4"/>
    </row>
    <row r="7136" spans="1:6" x14ac:dyDescent="0.4">
      <c r="A7136" s="4"/>
      <c r="B7136" s="4"/>
      <c r="D7136" s="4"/>
      <c r="E7136" s="4"/>
      <c r="F7136" s="4"/>
    </row>
    <row r="7137" spans="1:6" x14ac:dyDescent="0.4">
      <c r="A7137" s="4"/>
      <c r="B7137" s="4"/>
      <c r="D7137" s="4"/>
      <c r="E7137" s="4"/>
      <c r="F7137" s="4"/>
    </row>
    <row r="7138" spans="1:6" x14ac:dyDescent="0.4">
      <c r="A7138" s="4"/>
      <c r="B7138" s="4"/>
      <c r="D7138" s="4"/>
      <c r="E7138" s="4"/>
      <c r="F7138" s="4"/>
    </row>
    <row r="7139" spans="1:6" x14ac:dyDescent="0.4">
      <c r="A7139" s="4"/>
      <c r="B7139" s="4"/>
      <c r="D7139" s="4"/>
      <c r="E7139" s="4"/>
      <c r="F7139" s="4"/>
    </row>
    <row r="7140" spans="1:6" x14ac:dyDescent="0.4">
      <c r="A7140" s="4"/>
      <c r="B7140" s="4"/>
      <c r="D7140" s="4"/>
      <c r="E7140" s="4"/>
      <c r="F7140" s="4"/>
    </row>
    <row r="7141" spans="1:6" x14ac:dyDescent="0.4">
      <c r="A7141" s="4"/>
      <c r="B7141" s="4"/>
      <c r="D7141" s="4"/>
      <c r="E7141" s="4"/>
      <c r="F7141" s="4"/>
    </row>
    <row r="7142" spans="1:6" x14ac:dyDescent="0.4">
      <c r="A7142" s="4"/>
      <c r="B7142" s="4"/>
      <c r="D7142" s="4"/>
      <c r="E7142" s="4"/>
      <c r="F7142" s="4"/>
    </row>
    <row r="7143" spans="1:6" x14ac:dyDescent="0.4">
      <c r="A7143" s="4"/>
      <c r="B7143" s="4"/>
      <c r="D7143" s="4"/>
      <c r="E7143" s="4"/>
      <c r="F7143" s="4"/>
    </row>
    <row r="7144" spans="1:6" x14ac:dyDescent="0.4">
      <c r="A7144" s="4"/>
      <c r="B7144" s="4"/>
      <c r="D7144" s="4"/>
      <c r="E7144" s="4"/>
      <c r="F7144" s="4"/>
    </row>
    <row r="7145" spans="1:6" x14ac:dyDescent="0.4">
      <c r="A7145" s="4"/>
      <c r="B7145" s="4"/>
      <c r="D7145" s="4"/>
      <c r="E7145" s="4"/>
      <c r="F7145" s="4"/>
    </row>
    <row r="7146" spans="1:6" x14ac:dyDescent="0.4">
      <c r="A7146" s="4"/>
      <c r="B7146" s="4"/>
      <c r="D7146" s="4"/>
      <c r="E7146" s="4"/>
      <c r="F7146" s="4"/>
    </row>
    <row r="7147" spans="1:6" x14ac:dyDescent="0.4">
      <c r="A7147" s="4"/>
      <c r="B7147" s="4"/>
      <c r="D7147" s="4"/>
      <c r="E7147" s="4"/>
      <c r="F7147" s="4"/>
    </row>
    <row r="7148" spans="1:6" x14ac:dyDescent="0.4">
      <c r="A7148" s="4"/>
      <c r="B7148" s="4"/>
      <c r="D7148" s="4"/>
      <c r="E7148" s="4"/>
      <c r="F7148" s="4"/>
    </row>
    <row r="7149" spans="1:6" x14ac:dyDescent="0.4">
      <c r="A7149" s="4"/>
      <c r="B7149" s="4"/>
      <c r="D7149" s="4"/>
      <c r="E7149" s="4"/>
      <c r="F7149" s="4"/>
    </row>
    <row r="7150" spans="1:6" x14ac:dyDescent="0.4">
      <c r="A7150" s="4"/>
      <c r="B7150" s="4"/>
      <c r="D7150" s="4"/>
      <c r="E7150" s="4"/>
      <c r="F7150" s="4"/>
    </row>
    <row r="7151" spans="1:6" x14ac:dyDescent="0.4">
      <c r="A7151" s="4"/>
      <c r="B7151" s="4"/>
      <c r="D7151" s="4"/>
      <c r="E7151" s="4"/>
      <c r="F7151" s="4"/>
    </row>
    <row r="7152" spans="1:6" x14ac:dyDescent="0.4">
      <c r="A7152" s="4"/>
      <c r="B7152" s="4"/>
      <c r="D7152" s="4"/>
      <c r="E7152" s="4"/>
      <c r="F7152" s="4"/>
    </row>
    <row r="7153" spans="1:6" x14ac:dyDescent="0.4">
      <c r="A7153" s="4"/>
      <c r="B7153" s="4"/>
      <c r="D7153" s="4"/>
      <c r="E7153" s="4"/>
      <c r="F7153" s="4"/>
    </row>
    <row r="7154" spans="1:6" x14ac:dyDescent="0.4">
      <c r="A7154" s="4"/>
      <c r="B7154" s="4"/>
      <c r="D7154" s="4"/>
      <c r="E7154" s="4"/>
      <c r="F7154" s="4"/>
    </row>
    <row r="7155" spans="1:6" x14ac:dyDescent="0.4">
      <c r="A7155" s="4"/>
      <c r="B7155" s="4"/>
      <c r="D7155" s="4"/>
      <c r="E7155" s="4"/>
      <c r="F7155" s="4"/>
    </row>
    <row r="7156" spans="1:6" x14ac:dyDescent="0.4">
      <c r="A7156" s="4"/>
      <c r="B7156" s="4"/>
      <c r="D7156" s="4"/>
      <c r="E7156" s="4"/>
      <c r="F7156" s="4"/>
    </row>
    <row r="7157" spans="1:6" x14ac:dyDescent="0.4">
      <c r="A7157" s="4"/>
      <c r="B7157" s="4"/>
      <c r="D7157" s="4"/>
      <c r="E7157" s="4"/>
      <c r="F7157" s="4"/>
    </row>
    <row r="7158" spans="1:6" x14ac:dyDescent="0.4">
      <c r="A7158" s="4"/>
      <c r="B7158" s="4"/>
      <c r="D7158" s="4"/>
      <c r="E7158" s="4"/>
      <c r="F7158" s="4"/>
    </row>
    <row r="7159" spans="1:6" x14ac:dyDescent="0.4">
      <c r="A7159" s="4"/>
      <c r="B7159" s="4"/>
      <c r="D7159" s="4"/>
      <c r="E7159" s="4"/>
      <c r="F7159" s="4"/>
    </row>
    <row r="7160" spans="1:6" x14ac:dyDescent="0.4">
      <c r="A7160" s="4"/>
      <c r="B7160" s="4"/>
      <c r="D7160" s="4"/>
      <c r="E7160" s="4"/>
      <c r="F7160" s="4"/>
    </row>
    <row r="7161" spans="1:6" x14ac:dyDescent="0.4">
      <c r="A7161" s="4"/>
      <c r="B7161" s="4"/>
      <c r="D7161" s="4"/>
      <c r="E7161" s="4"/>
      <c r="F7161" s="4"/>
    </row>
    <row r="7162" spans="1:6" x14ac:dyDescent="0.4">
      <c r="A7162" s="4"/>
      <c r="B7162" s="4"/>
      <c r="D7162" s="4"/>
      <c r="E7162" s="4"/>
      <c r="F7162" s="4"/>
    </row>
    <row r="7163" spans="1:6" x14ac:dyDescent="0.4">
      <c r="A7163" s="4"/>
      <c r="B7163" s="4"/>
      <c r="D7163" s="4"/>
      <c r="E7163" s="4"/>
      <c r="F7163" s="4"/>
    </row>
    <row r="7164" spans="1:6" x14ac:dyDescent="0.4">
      <c r="A7164" s="4"/>
      <c r="B7164" s="4"/>
      <c r="D7164" s="4"/>
      <c r="E7164" s="4"/>
      <c r="F7164" s="4"/>
    </row>
    <row r="7165" spans="1:6" x14ac:dyDescent="0.4">
      <c r="A7165" s="4"/>
      <c r="B7165" s="4"/>
      <c r="D7165" s="4"/>
      <c r="E7165" s="4"/>
      <c r="F7165" s="4"/>
    </row>
    <row r="7166" spans="1:6" x14ac:dyDescent="0.4">
      <c r="A7166" s="4"/>
      <c r="B7166" s="4"/>
      <c r="D7166" s="4"/>
      <c r="E7166" s="4"/>
      <c r="F7166" s="4"/>
    </row>
    <row r="7167" spans="1:6" x14ac:dyDescent="0.4">
      <c r="A7167" s="4"/>
      <c r="B7167" s="4"/>
      <c r="D7167" s="4"/>
      <c r="E7167" s="4"/>
      <c r="F7167" s="4"/>
    </row>
    <row r="7168" spans="1:6" x14ac:dyDescent="0.4">
      <c r="A7168" s="4"/>
      <c r="B7168" s="4"/>
      <c r="D7168" s="4"/>
      <c r="E7168" s="4"/>
      <c r="F7168" s="4"/>
    </row>
    <row r="7169" spans="1:6" x14ac:dyDescent="0.4">
      <c r="A7169" s="4"/>
      <c r="B7169" s="4"/>
      <c r="D7169" s="4"/>
      <c r="E7169" s="4"/>
      <c r="F7169" s="4"/>
    </row>
    <row r="7170" spans="1:6" x14ac:dyDescent="0.4">
      <c r="A7170" s="4"/>
      <c r="B7170" s="4"/>
      <c r="D7170" s="4"/>
      <c r="E7170" s="4"/>
      <c r="F7170" s="4"/>
    </row>
    <row r="7171" spans="1:6" x14ac:dyDescent="0.4">
      <c r="A7171" s="4"/>
      <c r="B7171" s="4"/>
      <c r="D7171" s="4"/>
      <c r="E7171" s="4"/>
      <c r="F7171" s="4"/>
    </row>
    <row r="7172" spans="1:6" x14ac:dyDescent="0.4">
      <c r="A7172" s="4"/>
      <c r="B7172" s="4"/>
      <c r="D7172" s="4"/>
      <c r="E7172" s="4"/>
      <c r="F7172" s="4"/>
    </row>
    <row r="7173" spans="1:6" x14ac:dyDescent="0.4">
      <c r="A7173" s="4"/>
      <c r="B7173" s="4"/>
      <c r="D7173" s="4"/>
      <c r="E7173" s="4"/>
      <c r="F7173" s="4"/>
    </row>
    <row r="7174" spans="1:6" x14ac:dyDescent="0.4">
      <c r="A7174" s="4"/>
      <c r="B7174" s="4"/>
      <c r="D7174" s="4"/>
      <c r="E7174" s="4"/>
      <c r="F7174" s="4"/>
    </row>
    <row r="7175" spans="1:6" x14ac:dyDescent="0.4">
      <c r="A7175" s="4"/>
      <c r="B7175" s="4"/>
      <c r="D7175" s="4"/>
      <c r="E7175" s="4"/>
      <c r="F7175" s="4"/>
    </row>
    <row r="7176" spans="1:6" x14ac:dyDescent="0.4">
      <c r="A7176" s="4"/>
      <c r="B7176" s="4"/>
      <c r="D7176" s="4"/>
      <c r="E7176" s="4"/>
      <c r="F7176" s="4"/>
    </row>
    <row r="7177" spans="1:6" x14ac:dyDescent="0.4">
      <c r="A7177" s="4"/>
      <c r="B7177" s="4"/>
      <c r="D7177" s="4"/>
      <c r="E7177" s="4"/>
      <c r="F7177" s="4"/>
    </row>
    <row r="7178" spans="1:6" x14ac:dyDescent="0.4">
      <c r="A7178" s="4"/>
      <c r="B7178" s="4"/>
      <c r="D7178" s="4"/>
      <c r="E7178" s="4"/>
      <c r="F7178" s="4"/>
    </row>
    <row r="7179" spans="1:6" x14ac:dyDescent="0.4">
      <c r="A7179" s="4"/>
      <c r="B7179" s="4"/>
      <c r="D7179" s="4"/>
      <c r="E7179" s="4"/>
      <c r="F7179" s="4"/>
    </row>
    <row r="7180" spans="1:6" x14ac:dyDescent="0.4">
      <c r="A7180" s="4"/>
      <c r="B7180" s="4"/>
      <c r="D7180" s="4"/>
      <c r="E7180" s="4"/>
      <c r="F7180" s="4"/>
    </row>
    <row r="7181" spans="1:6" x14ac:dyDescent="0.4">
      <c r="A7181" s="4"/>
      <c r="B7181" s="4"/>
      <c r="D7181" s="4"/>
      <c r="E7181" s="4"/>
      <c r="F7181" s="4"/>
    </row>
    <row r="7182" spans="1:6" x14ac:dyDescent="0.4">
      <c r="A7182" s="4"/>
      <c r="B7182" s="4"/>
      <c r="D7182" s="4"/>
      <c r="E7182" s="4"/>
      <c r="F7182" s="4"/>
    </row>
    <row r="7183" spans="1:6" x14ac:dyDescent="0.4">
      <c r="A7183" s="4"/>
      <c r="B7183" s="4"/>
      <c r="D7183" s="4"/>
      <c r="E7183" s="4"/>
      <c r="F7183" s="4"/>
    </row>
    <row r="7184" spans="1:6" x14ac:dyDescent="0.4">
      <c r="A7184" s="4"/>
      <c r="B7184" s="4"/>
      <c r="D7184" s="4"/>
      <c r="E7184" s="4"/>
      <c r="F7184" s="4"/>
    </row>
    <row r="7185" spans="1:6" x14ac:dyDescent="0.4">
      <c r="A7185" s="4"/>
      <c r="B7185" s="4"/>
      <c r="D7185" s="4"/>
      <c r="E7185" s="4"/>
      <c r="F7185" s="4"/>
    </row>
    <row r="7186" spans="1:6" x14ac:dyDescent="0.4">
      <c r="A7186" s="4"/>
      <c r="B7186" s="4"/>
      <c r="D7186" s="4"/>
      <c r="E7186" s="4"/>
      <c r="F7186" s="4"/>
    </row>
    <row r="7187" spans="1:6" x14ac:dyDescent="0.4">
      <c r="A7187" s="4"/>
      <c r="B7187" s="4"/>
      <c r="D7187" s="4"/>
      <c r="E7187" s="4"/>
      <c r="F7187" s="4"/>
    </row>
    <row r="7188" spans="1:6" x14ac:dyDescent="0.4">
      <c r="A7188" s="4"/>
      <c r="B7188" s="4"/>
      <c r="D7188" s="4"/>
      <c r="E7188" s="4"/>
      <c r="F7188" s="4"/>
    </row>
    <row r="7189" spans="1:6" x14ac:dyDescent="0.4">
      <c r="A7189" s="4"/>
      <c r="B7189" s="4"/>
      <c r="D7189" s="4"/>
      <c r="E7189" s="4"/>
      <c r="F7189" s="4"/>
    </row>
    <row r="7190" spans="1:6" x14ac:dyDescent="0.4">
      <c r="A7190" s="4"/>
      <c r="B7190" s="4"/>
      <c r="D7190" s="4"/>
      <c r="E7190" s="4"/>
      <c r="F7190" s="4"/>
    </row>
    <row r="7191" spans="1:6" x14ac:dyDescent="0.4">
      <c r="A7191" s="4"/>
      <c r="B7191" s="4"/>
      <c r="D7191" s="4"/>
      <c r="E7191" s="4"/>
      <c r="F7191" s="4"/>
    </row>
    <row r="7192" spans="1:6" x14ac:dyDescent="0.4">
      <c r="A7192" s="4"/>
      <c r="B7192" s="4"/>
      <c r="D7192" s="4"/>
      <c r="E7192" s="4"/>
      <c r="F7192" s="4"/>
    </row>
    <row r="7193" spans="1:6" x14ac:dyDescent="0.4">
      <c r="A7193" s="4"/>
      <c r="B7193" s="4"/>
      <c r="D7193" s="4"/>
      <c r="E7193" s="4"/>
      <c r="F7193" s="4"/>
    </row>
    <row r="7194" spans="1:6" x14ac:dyDescent="0.4">
      <c r="A7194" s="4"/>
      <c r="B7194" s="4"/>
      <c r="D7194" s="4"/>
      <c r="E7194" s="4"/>
      <c r="F7194" s="4"/>
    </row>
    <row r="7195" spans="1:6" x14ac:dyDescent="0.4">
      <c r="A7195" s="4"/>
      <c r="B7195" s="4"/>
      <c r="D7195" s="4"/>
      <c r="E7195" s="4"/>
      <c r="F7195" s="4"/>
    </row>
    <row r="7196" spans="1:6" x14ac:dyDescent="0.4">
      <c r="A7196" s="4"/>
      <c r="B7196" s="4"/>
      <c r="D7196" s="4"/>
      <c r="E7196" s="4"/>
      <c r="F7196" s="4"/>
    </row>
    <row r="7197" spans="1:6" x14ac:dyDescent="0.4">
      <c r="A7197" s="4"/>
      <c r="B7197" s="4"/>
      <c r="D7197" s="4"/>
      <c r="E7197" s="4"/>
      <c r="F7197" s="4"/>
    </row>
    <row r="7198" spans="1:6" x14ac:dyDescent="0.4">
      <c r="A7198" s="4"/>
      <c r="B7198" s="4"/>
      <c r="D7198" s="4"/>
      <c r="E7198" s="4"/>
      <c r="F7198" s="4"/>
    </row>
    <row r="7199" spans="1:6" x14ac:dyDescent="0.4">
      <c r="A7199" s="4"/>
      <c r="B7199" s="4"/>
      <c r="D7199" s="4"/>
      <c r="E7199" s="4"/>
      <c r="F7199" s="4"/>
    </row>
    <row r="7200" spans="1:6" x14ac:dyDescent="0.4">
      <c r="A7200" s="4"/>
      <c r="B7200" s="4"/>
      <c r="D7200" s="4"/>
      <c r="E7200" s="4"/>
      <c r="F7200" s="4"/>
    </row>
    <row r="7201" spans="1:6" x14ac:dyDescent="0.4">
      <c r="A7201" s="4"/>
      <c r="B7201" s="4"/>
      <c r="D7201" s="4"/>
      <c r="E7201" s="4"/>
      <c r="F7201" s="4"/>
    </row>
    <row r="7202" spans="1:6" x14ac:dyDescent="0.4">
      <c r="A7202" s="4"/>
      <c r="B7202" s="4"/>
      <c r="D7202" s="4"/>
      <c r="E7202" s="4"/>
      <c r="F7202" s="4"/>
    </row>
    <row r="7203" spans="1:6" x14ac:dyDescent="0.4">
      <c r="A7203" s="4"/>
      <c r="B7203" s="4"/>
      <c r="D7203" s="4"/>
      <c r="E7203" s="4"/>
      <c r="F7203" s="4"/>
    </row>
    <row r="7204" spans="1:6" x14ac:dyDescent="0.4">
      <c r="A7204" s="4"/>
      <c r="B7204" s="4"/>
      <c r="D7204" s="4"/>
      <c r="E7204" s="4"/>
      <c r="F7204" s="4"/>
    </row>
    <row r="7205" spans="1:6" x14ac:dyDescent="0.4">
      <c r="A7205" s="4"/>
      <c r="B7205" s="4"/>
      <c r="D7205" s="4"/>
      <c r="E7205" s="4"/>
      <c r="F7205" s="4"/>
    </row>
    <row r="7206" spans="1:6" x14ac:dyDescent="0.4">
      <c r="A7206" s="4"/>
      <c r="B7206" s="4"/>
      <c r="D7206" s="4"/>
      <c r="E7206" s="4"/>
      <c r="F7206" s="4"/>
    </row>
    <row r="7207" spans="1:6" x14ac:dyDescent="0.4">
      <c r="A7207" s="4"/>
      <c r="B7207" s="4"/>
      <c r="D7207" s="4"/>
      <c r="E7207" s="4"/>
      <c r="F7207" s="4"/>
    </row>
    <row r="7208" spans="1:6" x14ac:dyDescent="0.4">
      <c r="A7208" s="4"/>
      <c r="B7208" s="4"/>
      <c r="D7208" s="4"/>
      <c r="E7208" s="4"/>
      <c r="F7208" s="4"/>
    </row>
    <row r="7209" spans="1:6" x14ac:dyDescent="0.4">
      <c r="A7209" s="4"/>
      <c r="B7209" s="4"/>
      <c r="D7209" s="4"/>
      <c r="E7209" s="4"/>
      <c r="F7209" s="4"/>
    </row>
    <row r="7210" spans="1:6" x14ac:dyDescent="0.4">
      <c r="A7210" s="4"/>
      <c r="B7210" s="4"/>
      <c r="D7210" s="4"/>
      <c r="E7210" s="4"/>
      <c r="F7210" s="4"/>
    </row>
    <row r="7211" spans="1:6" x14ac:dyDescent="0.4">
      <c r="A7211" s="4"/>
      <c r="B7211" s="4"/>
      <c r="D7211" s="4"/>
      <c r="E7211" s="4"/>
      <c r="F7211" s="4"/>
    </row>
    <row r="7212" spans="1:6" x14ac:dyDescent="0.4">
      <c r="A7212" s="4"/>
      <c r="B7212" s="4"/>
      <c r="D7212" s="4"/>
      <c r="E7212" s="4"/>
      <c r="F7212" s="4"/>
    </row>
    <row r="7213" spans="1:6" x14ac:dyDescent="0.4">
      <c r="A7213" s="4"/>
      <c r="B7213" s="4"/>
      <c r="D7213" s="4"/>
      <c r="E7213" s="4"/>
      <c r="F7213" s="4"/>
    </row>
    <row r="7214" spans="1:6" x14ac:dyDescent="0.4">
      <c r="A7214" s="4"/>
      <c r="B7214" s="4"/>
      <c r="D7214" s="4"/>
      <c r="E7214" s="4"/>
      <c r="F7214" s="4"/>
    </row>
    <row r="7215" spans="1:6" x14ac:dyDescent="0.4">
      <c r="A7215" s="4"/>
      <c r="B7215" s="4"/>
      <c r="D7215" s="4"/>
      <c r="E7215" s="4"/>
      <c r="F7215" s="4"/>
    </row>
    <row r="7216" spans="1:6" x14ac:dyDescent="0.4">
      <c r="A7216" s="4"/>
      <c r="B7216" s="4"/>
      <c r="D7216" s="4"/>
      <c r="E7216" s="4"/>
      <c r="F7216" s="4"/>
    </row>
    <row r="7217" spans="1:6" x14ac:dyDescent="0.4">
      <c r="A7217" s="4"/>
      <c r="B7217" s="4"/>
      <c r="D7217" s="4"/>
      <c r="E7217" s="4"/>
      <c r="F7217" s="4"/>
    </row>
    <row r="7218" spans="1:6" x14ac:dyDescent="0.4">
      <c r="A7218" s="4"/>
      <c r="B7218" s="4"/>
      <c r="D7218" s="4"/>
      <c r="E7218" s="4"/>
      <c r="F7218" s="4"/>
    </row>
    <row r="7219" spans="1:6" x14ac:dyDescent="0.4">
      <c r="A7219" s="4"/>
      <c r="B7219" s="4"/>
      <c r="D7219" s="4"/>
      <c r="E7219" s="4"/>
      <c r="F7219" s="4"/>
    </row>
    <row r="7220" spans="1:6" x14ac:dyDescent="0.4">
      <c r="A7220" s="4"/>
      <c r="B7220" s="4"/>
      <c r="D7220" s="4"/>
      <c r="E7220" s="4"/>
      <c r="F7220" s="4"/>
    </row>
    <row r="7221" spans="1:6" x14ac:dyDescent="0.4">
      <c r="A7221" s="4"/>
      <c r="B7221" s="4"/>
      <c r="D7221" s="4"/>
      <c r="E7221" s="4"/>
      <c r="F7221" s="4"/>
    </row>
    <row r="7222" spans="1:6" x14ac:dyDescent="0.4">
      <c r="A7222" s="4"/>
      <c r="B7222" s="4"/>
      <c r="D7222" s="4"/>
      <c r="E7222" s="4"/>
      <c r="F7222" s="4"/>
    </row>
    <row r="7223" spans="1:6" x14ac:dyDescent="0.4">
      <c r="A7223" s="4"/>
      <c r="B7223" s="4"/>
      <c r="D7223" s="4"/>
      <c r="E7223" s="4"/>
      <c r="F7223" s="4"/>
    </row>
    <row r="7224" spans="1:6" x14ac:dyDescent="0.4">
      <c r="A7224" s="4"/>
      <c r="B7224" s="4"/>
      <c r="D7224" s="4"/>
      <c r="E7224" s="4"/>
      <c r="F7224" s="4"/>
    </row>
    <row r="7225" spans="1:6" x14ac:dyDescent="0.4">
      <c r="A7225" s="4"/>
      <c r="B7225" s="4"/>
      <c r="D7225" s="4"/>
      <c r="E7225" s="4"/>
      <c r="F7225" s="4"/>
    </row>
    <row r="7226" spans="1:6" x14ac:dyDescent="0.4">
      <c r="A7226" s="4"/>
      <c r="B7226" s="4"/>
      <c r="D7226" s="4"/>
      <c r="E7226" s="4"/>
      <c r="F7226" s="4"/>
    </row>
    <row r="7227" spans="1:6" x14ac:dyDescent="0.4">
      <c r="A7227" s="4"/>
      <c r="B7227" s="4"/>
      <c r="D7227" s="4"/>
      <c r="E7227" s="4"/>
      <c r="F7227" s="4"/>
    </row>
    <row r="7228" spans="1:6" x14ac:dyDescent="0.4">
      <c r="A7228" s="4"/>
      <c r="B7228" s="4"/>
      <c r="D7228" s="4"/>
      <c r="E7228" s="4"/>
      <c r="F7228" s="4"/>
    </row>
    <row r="7229" spans="1:6" x14ac:dyDescent="0.4">
      <c r="A7229" s="4"/>
      <c r="B7229" s="4"/>
      <c r="D7229" s="4"/>
      <c r="E7229" s="4"/>
      <c r="F7229" s="4"/>
    </row>
    <row r="7230" spans="1:6" x14ac:dyDescent="0.4">
      <c r="A7230" s="4"/>
      <c r="B7230" s="4"/>
      <c r="D7230" s="4"/>
      <c r="E7230" s="4"/>
      <c r="F7230" s="4"/>
    </row>
    <row r="7231" spans="1:6" x14ac:dyDescent="0.4">
      <c r="A7231" s="4"/>
      <c r="B7231" s="4"/>
      <c r="D7231" s="4"/>
      <c r="E7231" s="4"/>
      <c r="F7231" s="4"/>
    </row>
    <row r="7232" spans="1:6" x14ac:dyDescent="0.4">
      <c r="A7232" s="4"/>
      <c r="B7232" s="4"/>
      <c r="D7232" s="4"/>
      <c r="E7232" s="4"/>
      <c r="F7232" s="4"/>
    </row>
    <row r="7233" spans="1:6" x14ac:dyDescent="0.4">
      <c r="A7233" s="4"/>
      <c r="B7233" s="4"/>
      <c r="D7233" s="4"/>
      <c r="E7233" s="4"/>
      <c r="F7233" s="4"/>
    </row>
    <row r="7234" spans="1:6" x14ac:dyDescent="0.4">
      <c r="A7234" s="4"/>
      <c r="B7234" s="4"/>
      <c r="D7234" s="4"/>
      <c r="E7234" s="4"/>
      <c r="F7234" s="4"/>
    </row>
    <row r="7235" spans="1:6" x14ac:dyDescent="0.4">
      <c r="A7235" s="4"/>
      <c r="B7235" s="4"/>
      <c r="D7235" s="4"/>
      <c r="E7235" s="4"/>
      <c r="F7235" s="4"/>
    </row>
    <row r="7236" spans="1:6" x14ac:dyDescent="0.4">
      <c r="A7236" s="4"/>
      <c r="B7236" s="4"/>
      <c r="D7236" s="4"/>
      <c r="E7236" s="4"/>
      <c r="F7236" s="4"/>
    </row>
    <row r="7237" spans="1:6" x14ac:dyDescent="0.4">
      <c r="A7237" s="4"/>
      <c r="B7237" s="4"/>
      <c r="D7237" s="4"/>
      <c r="E7237" s="4"/>
      <c r="F7237" s="4"/>
    </row>
    <row r="7238" spans="1:6" x14ac:dyDescent="0.4">
      <c r="A7238" s="4"/>
      <c r="B7238" s="4"/>
      <c r="D7238" s="4"/>
      <c r="E7238" s="4"/>
      <c r="F7238" s="4"/>
    </row>
    <row r="7239" spans="1:6" x14ac:dyDescent="0.4">
      <c r="A7239" s="4"/>
      <c r="B7239" s="4"/>
      <c r="D7239" s="4"/>
      <c r="E7239" s="4"/>
      <c r="F7239" s="4"/>
    </row>
    <row r="7240" spans="1:6" x14ac:dyDescent="0.4">
      <c r="A7240" s="4"/>
      <c r="B7240" s="4"/>
      <c r="D7240" s="4"/>
      <c r="E7240" s="4"/>
      <c r="F7240" s="4"/>
    </row>
    <row r="7241" spans="1:6" x14ac:dyDescent="0.4">
      <c r="A7241" s="4"/>
      <c r="B7241" s="4"/>
      <c r="D7241" s="4"/>
      <c r="E7241" s="4"/>
      <c r="F7241" s="4"/>
    </row>
    <row r="7242" spans="1:6" x14ac:dyDescent="0.4">
      <c r="A7242" s="4"/>
      <c r="B7242" s="4"/>
      <c r="D7242" s="4"/>
      <c r="E7242" s="4"/>
      <c r="F7242" s="4"/>
    </row>
    <row r="7243" spans="1:6" x14ac:dyDescent="0.4">
      <c r="A7243" s="4"/>
      <c r="B7243" s="4"/>
      <c r="D7243" s="4"/>
      <c r="E7243" s="4"/>
      <c r="F7243" s="4"/>
    </row>
    <row r="7244" spans="1:6" x14ac:dyDescent="0.4">
      <c r="A7244" s="4"/>
      <c r="B7244" s="4"/>
      <c r="D7244" s="4"/>
      <c r="E7244" s="4"/>
      <c r="F7244" s="4"/>
    </row>
    <row r="7245" spans="1:6" x14ac:dyDescent="0.4">
      <c r="A7245" s="4"/>
      <c r="B7245" s="4"/>
      <c r="D7245" s="4"/>
      <c r="E7245" s="4"/>
      <c r="F7245" s="4"/>
    </row>
    <row r="7246" spans="1:6" x14ac:dyDescent="0.4">
      <c r="A7246" s="4"/>
      <c r="B7246" s="4"/>
      <c r="D7246" s="4"/>
      <c r="E7246" s="4"/>
      <c r="F7246" s="4"/>
    </row>
    <row r="7247" spans="1:6" x14ac:dyDescent="0.4">
      <c r="A7247" s="4"/>
      <c r="B7247" s="4"/>
      <c r="D7247" s="4"/>
      <c r="E7247" s="4"/>
      <c r="F7247" s="4"/>
    </row>
    <row r="7248" spans="1:6" x14ac:dyDescent="0.4">
      <c r="A7248" s="4"/>
      <c r="B7248" s="4"/>
      <c r="D7248" s="4"/>
      <c r="E7248" s="4"/>
      <c r="F7248" s="4"/>
    </row>
    <row r="7249" spans="1:6" x14ac:dyDescent="0.4">
      <c r="A7249" s="4"/>
      <c r="B7249" s="4"/>
      <c r="D7249" s="4"/>
      <c r="E7249" s="4"/>
      <c r="F7249" s="4"/>
    </row>
    <row r="7250" spans="1:6" x14ac:dyDescent="0.4">
      <c r="A7250" s="4"/>
      <c r="B7250" s="4"/>
      <c r="D7250" s="4"/>
      <c r="E7250" s="4"/>
      <c r="F7250" s="4"/>
    </row>
    <row r="7251" spans="1:6" x14ac:dyDescent="0.4">
      <c r="A7251" s="4"/>
      <c r="B7251" s="4"/>
      <c r="D7251" s="4"/>
      <c r="E7251" s="4"/>
      <c r="F7251" s="4"/>
    </row>
    <row r="7252" spans="1:6" x14ac:dyDescent="0.4">
      <c r="A7252" s="4"/>
      <c r="B7252" s="4"/>
      <c r="D7252" s="4"/>
      <c r="E7252" s="4"/>
      <c r="F7252" s="4"/>
    </row>
    <row r="7253" spans="1:6" x14ac:dyDescent="0.4">
      <c r="A7253" s="4"/>
      <c r="B7253" s="4"/>
      <c r="D7253" s="4"/>
      <c r="E7253" s="4"/>
      <c r="F7253" s="4"/>
    </row>
    <row r="7254" spans="1:6" x14ac:dyDescent="0.4">
      <c r="A7254" s="4"/>
      <c r="B7254" s="4"/>
      <c r="D7254" s="4"/>
      <c r="E7254" s="4"/>
      <c r="F7254" s="4"/>
    </row>
    <row r="7255" spans="1:6" x14ac:dyDescent="0.4">
      <c r="A7255" s="4"/>
      <c r="B7255" s="4"/>
      <c r="D7255" s="4"/>
      <c r="E7255" s="4"/>
      <c r="F7255" s="4"/>
    </row>
    <row r="7256" spans="1:6" x14ac:dyDescent="0.4">
      <c r="A7256" s="4"/>
      <c r="B7256" s="4"/>
      <c r="D7256" s="4"/>
      <c r="E7256" s="4"/>
      <c r="F7256" s="4"/>
    </row>
    <row r="7257" spans="1:6" x14ac:dyDescent="0.4">
      <c r="A7257" s="4"/>
      <c r="B7257" s="4"/>
      <c r="D7257" s="4"/>
      <c r="E7257" s="4"/>
      <c r="F7257" s="4"/>
    </row>
    <row r="7258" spans="1:6" x14ac:dyDescent="0.4">
      <c r="A7258" s="4"/>
      <c r="B7258" s="4"/>
      <c r="D7258" s="4"/>
      <c r="E7258" s="4"/>
      <c r="F7258" s="4"/>
    </row>
    <row r="7259" spans="1:6" x14ac:dyDescent="0.4">
      <c r="A7259" s="4"/>
      <c r="B7259" s="4"/>
      <c r="D7259" s="4"/>
      <c r="E7259" s="4"/>
      <c r="F7259" s="4"/>
    </row>
    <row r="7260" spans="1:6" x14ac:dyDescent="0.4">
      <c r="A7260" s="4"/>
      <c r="B7260" s="4"/>
      <c r="D7260" s="4"/>
      <c r="E7260" s="4"/>
      <c r="F7260" s="4"/>
    </row>
    <row r="7261" spans="1:6" x14ac:dyDescent="0.4">
      <c r="A7261" s="4"/>
      <c r="B7261" s="4"/>
      <c r="D7261" s="4"/>
      <c r="E7261" s="4"/>
      <c r="F7261" s="4"/>
    </row>
    <row r="7262" spans="1:6" x14ac:dyDescent="0.4">
      <c r="A7262" s="4"/>
      <c r="B7262" s="4"/>
      <c r="D7262" s="4"/>
      <c r="E7262" s="4"/>
      <c r="F7262" s="4"/>
    </row>
    <row r="7263" spans="1:6" x14ac:dyDescent="0.4">
      <c r="A7263" s="4"/>
      <c r="B7263" s="4"/>
      <c r="D7263" s="4"/>
      <c r="E7263" s="4"/>
      <c r="F7263" s="4"/>
    </row>
    <row r="7264" spans="1:6" x14ac:dyDescent="0.4">
      <c r="A7264" s="4"/>
      <c r="B7264" s="4"/>
      <c r="D7264" s="4"/>
      <c r="E7264" s="4"/>
      <c r="F7264" s="4"/>
    </row>
    <row r="7265" spans="1:6" x14ac:dyDescent="0.4">
      <c r="A7265" s="4"/>
      <c r="B7265" s="4"/>
      <c r="D7265" s="4"/>
      <c r="E7265" s="4"/>
      <c r="F7265" s="4"/>
    </row>
    <row r="7266" spans="1:6" x14ac:dyDescent="0.4">
      <c r="A7266" s="4"/>
      <c r="B7266" s="4"/>
      <c r="D7266" s="4"/>
      <c r="E7266" s="4"/>
      <c r="F7266" s="4"/>
    </row>
    <row r="7267" spans="1:6" x14ac:dyDescent="0.4">
      <c r="A7267" s="4"/>
      <c r="B7267" s="4"/>
      <c r="D7267" s="4"/>
      <c r="E7267" s="4"/>
      <c r="F7267" s="4"/>
    </row>
    <row r="7268" spans="1:6" x14ac:dyDescent="0.4">
      <c r="A7268" s="4"/>
      <c r="B7268" s="4"/>
      <c r="D7268" s="4"/>
      <c r="E7268" s="4"/>
      <c r="F7268" s="4"/>
    </row>
    <row r="7269" spans="1:6" x14ac:dyDescent="0.4">
      <c r="A7269" s="4"/>
      <c r="B7269" s="4"/>
      <c r="D7269" s="4"/>
      <c r="E7269" s="4"/>
      <c r="F7269" s="4"/>
    </row>
    <row r="7270" spans="1:6" x14ac:dyDescent="0.4">
      <c r="A7270" s="4"/>
      <c r="B7270" s="4"/>
      <c r="D7270" s="4"/>
      <c r="E7270" s="4"/>
      <c r="F7270" s="4"/>
    </row>
    <row r="7271" spans="1:6" x14ac:dyDescent="0.4">
      <c r="A7271" s="4"/>
      <c r="B7271" s="4"/>
      <c r="D7271" s="4"/>
      <c r="E7271" s="4"/>
      <c r="F7271" s="4"/>
    </row>
    <row r="7272" spans="1:6" x14ac:dyDescent="0.4">
      <c r="A7272" s="4"/>
      <c r="B7272" s="4"/>
      <c r="D7272" s="4"/>
      <c r="E7272" s="4"/>
      <c r="F7272" s="4"/>
    </row>
    <row r="7273" spans="1:6" x14ac:dyDescent="0.4">
      <c r="A7273" s="4"/>
      <c r="B7273" s="4"/>
      <c r="D7273" s="4"/>
      <c r="E7273" s="4"/>
      <c r="F7273" s="4"/>
    </row>
    <row r="7274" spans="1:6" x14ac:dyDescent="0.4">
      <c r="A7274" s="4"/>
      <c r="B7274" s="4"/>
      <c r="D7274" s="4"/>
      <c r="E7274" s="4"/>
      <c r="F7274" s="4"/>
    </row>
    <row r="7275" spans="1:6" x14ac:dyDescent="0.4">
      <c r="A7275" s="4"/>
      <c r="B7275" s="4"/>
      <c r="D7275" s="4"/>
      <c r="E7275" s="4"/>
      <c r="F7275" s="4"/>
    </row>
    <row r="7276" spans="1:6" x14ac:dyDescent="0.4">
      <c r="A7276" s="4"/>
      <c r="B7276" s="4"/>
      <c r="D7276" s="4"/>
      <c r="E7276" s="4"/>
      <c r="F7276" s="4"/>
    </row>
    <row r="7277" spans="1:6" x14ac:dyDescent="0.4">
      <c r="A7277" s="4"/>
      <c r="B7277" s="4"/>
      <c r="D7277" s="4"/>
      <c r="E7277" s="4"/>
      <c r="F7277" s="4"/>
    </row>
    <row r="7278" spans="1:6" x14ac:dyDescent="0.4">
      <c r="A7278" s="4"/>
      <c r="B7278" s="4"/>
      <c r="D7278" s="4"/>
      <c r="E7278" s="4"/>
      <c r="F7278" s="4"/>
    </row>
    <row r="7279" spans="1:6" x14ac:dyDescent="0.4">
      <c r="A7279" s="4"/>
      <c r="B7279" s="4"/>
      <c r="D7279" s="4"/>
      <c r="E7279" s="4"/>
      <c r="F7279" s="4"/>
    </row>
    <row r="7280" spans="1:6" x14ac:dyDescent="0.4">
      <c r="A7280" s="4"/>
      <c r="B7280" s="4"/>
      <c r="D7280" s="4"/>
      <c r="E7280" s="4"/>
      <c r="F7280" s="4"/>
    </row>
    <row r="7281" spans="1:6" x14ac:dyDescent="0.4">
      <c r="A7281" s="4"/>
      <c r="B7281" s="4"/>
      <c r="D7281" s="4"/>
      <c r="E7281" s="4"/>
      <c r="F7281" s="4"/>
    </row>
    <row r="7282" spans="1:6" x14ac:dyDescent="0.4">
      <c r="A7282" s="4"/>
      <c r="B7282" s="4"/>
      <c r="D7282" s="4"/>
      <c r="E7282" s="4"/>
      <c r="F7282" s="4"/>
    </row>
    <row r="7283" spans="1:6" x14ac:dyDescent="0.4">
      <c r="A7283" s="4"/>
      <c r="B7283" s="4"/>
      <c r="D7283" s="4"/>
      <c r="E7283" s="4"/>
      <c r="F7283" s="4"/>
    </row>
    <row r="7284" spans="1:6" x14ac:dyDescent="0.4">
      <c r="A7284" s="4"/>
      <c r="B7284" s="4"/>
      <c r="D7284" s="4"/>
      <c r="E7284" s="4"/>
      <c r="F7284" s="4"/>
    </row>
    <row r="7285" spans="1:6" x14ac:dyDescent="0.4">
      <c r="A7285" s="4"/>
      <c r="B7285" s="4"/>
      <c r="D7285" s="4"/>
      <c r="E7285" s="4"/>
      <c r="F7285" s="4"/>
    </row>
    <row r="7286" spans="1:6" x14ac:dyDescent="0.4">
      <c r="A7286" s="4"/>
      <c r="B7286" s="4"/>
      <c r="D7286" s="4"/>
      <c r="E7286" s="4"/>
      <c r="F7286" s="4"/>
    </row>
    <row r="7287" spans="1:6" x14ac:dyDescent="0.4">
      <c r="A7287" s="4"/>
      <c r="B7287" s="4"/>
      <c r="D7287" s="4"/>
      <c r="E7287" s="4"/>
      <c r="F7287" s="4"/>
    </row>
    <row r="7288" spans="1:6" x14ac:dyDescent="0.4">
      <c r="A7288" s="4"/>
      <c r="B7288" s="4"/>
      <c r="D7288" s="4"/>
      <c r="E7288" s="4"/>
      <c r="F7288" s="4"/>
    </row>
    <row r="7289" spans="1:6" x14ac:dyDescent="0.4">
      <c r="A7289" s="4"/>
      <c r="B7289" s="4"/>
      <c r="D7289" s="4"/>
      <c r="E7289" s="4"/>
      <c r="F7289" s="4"/>
    </row>
    <row r="7290" spans="1:6" x14ac:dyDescent="0.4">
      <c r="A7290" s="4"/>
      <c r="B7290" s="4"/>
      <c r="D7290" s="4"/>
      <c r="E7290" s="4"/>
      <c r="F7290" s="4"/>
    </row>
    <row r="7291" spans="1:6" x14ac:dyDescent="0.4">
      <c r="A7291" s="4"/>
      <c r="B7291" s="4"/>
      <c r="D7291" s="4"/>
      <c r="E7291" s="4"/>
      <c r="F7291" s="4"/>
    </row>
    <row r="7292" spans="1:6" x14ac:dyDescent="0.4">
      <c r="A7292" s="4"/>
      <c r="B7292" s="4"/>
      <c r="D7292" s="4"/>
      <c r="E7292" s="4"/>
      <c r="F7292" s="4"/>
    </row>
    <row r="7293" spans="1:6" x14ac:dyDescent="0.4">
      <c r="A7293" s="4"/>
      <c r="B7293" s="4"/>
      <c r="D7293" s="4"/>
      <c r="E7293" s="4"/>
      <c r="F7293" s="4"/>
    </row>
    <row r="7294" spans="1:6" x14ac:dyDescent="0.4">
      <c r="A7294" s="4"/>
      <c r="B7294" s="4"/>
      <c r="D7294" s="4"/>
      <c r="E7294" s="4"/>
      <c r="F7294" s="4"/>
    </row>
    <row r="7295" spans="1:6" x14ac:dyDescent="0.4">
      <c r="A7295" s="4"/>
      <c r="B7295" s="4"/>
      <c r="D7295" s="4"/>
      <c r="E7295" s="4"/>
      <c r="F7295" s="4"/>
    </row>
    <row r="7296" spans="1:6" x14ac:dyDescent="0.4">
      <c r="A7296" s="4"/>
      <c r="B7296" s="4"/>
      <c r="D7296" s="4"/>
      <c r="E7296" s="4"/>
      <c r="F7296" s="4"/>
    </row>
    <row r="7297" spans="1:6" x14ac:dyDescent="0.4">
      <c r="A7297" s="4"/>
      <c r="B7297" s="4"/>
      <c r="D7297" s="4"/>
      <c r="E7297" s="4"/>
      <c r="F7297" s="4"/>
    </row>
    <row r="7298" spans="1:6" x14ac:dyDescent="0.4">
      <c r="A7298" s="4"/>
      <c r="B7298" s="4"/>
      <c r="D7298" s="4"/>
      <c r="E7298" s="4"/>
      <c r="F7298" s="4"/>
    </row>
    <row r="7299" spans="1:6" x14ac:dyDescent="0.4">
      <c r="A7299" s="4"/>
      <c r="B7299" s="4"/>
      <c r="D7299" s="4"/>
      <c r="E7299" s="4"/>
      <c r="F7299" s="4"/>
    </row>
    <row r="7300" spans="1:6" x14ac:dyDescent="0.4">
      <c r="A7300" s="4"/>
      <c r="B7300" s="4"/>
      <c r="D7300" s="4"/>
      <c r="E7300" s="4"/>
      <c r="F7300" s="4"/>
    </row>
    <row r="7301" spans="1:6" x14ac:dyDescent="0.4">
      <c r="A7301" s="4"/>
      <c r="B7301" s="4"/>
      <c r="D7301" s="4"/>
      <c r="E7301" s="4"/>
      <c r="F7301" s="4"/>
    </row>
    <row r="7302" spans="1:6" x14ac:dyDescent="0.4">
      <c r="A7302" s="4"/>
      <c r="B7302" s="4"/>
      <c r="D7302" s="4"/>
      <c r="E7302" s="4"/>
      <c r="F7302" s="4"/>
    </row>
    <row r="7303" spans="1:6" x14ac:dyDescent="0.4">
      <c r="A7303" s="4"/>
      <c r="B7303" s="4"/>
      <c r="D7303" s="4"/>
      <c r="E7303" s="4"/>
      <c r="F7303" s="4"/>
    </row>
    <row r="7304" spans="1:6" x14ac:dyDescent="0.4">
      <c r="A7304" s="4"/>
      <c r="B7304" s="4"/>
      <c r="D7304" s="4"/>
      <c r="E7304" s="4"/>
      <c r="F7304" s="4"/>
    </row>
    <row r="7305" spans="1:6" x14ac:dyDescent="0.4">
      <c r="A7305" s="4"/>
      <c r="B7305" s="4"/>
      <c r="D7305" s="4"/>
      <c r="E7305" s="4"/>
      <c r="F7305" s="4"/>
    </row>
    <row r="7306" spans="1:6" x14ac:dyDescent="0.4">
      <c r="A7306" s="4"/>
      <c r="B7306" s="4"/>
      <c r="D7306" s="4"/>
      <c r="E7306" s="4"/>
      <c r="F7306" s="4"/>
    </row>
    <row r="7307" spans="1:6" x14ac:dyDescent="0.4">
      <c r="A7307" s="4"/>
      <c r="B7307" s="4"/>
      <c r="D7307" s="4"/>
      <c r="E7307" s="4"/>
      <c r="F7307" s="4"/>
    </row>
    <row r="7308" spans="1:6" x14ac:dyDescent="0.4">
      <c r="A7308" s="4"/>
      <c r="B7308" s="4"/>
      <c r="D7308" s="4"/>
      <c r="E7308" s="4"/>
      <c r="F7308" s="4"/>
    </row>
    <row r="7309" spans="1:6" x14ac:dyDescent="0.4">
      <c r="A7309" s="4"/>
      <c r="B7309" s="4"/>
      <c r="D7309" s="4"/>
      <c r="E7309" s="4"/>
      <c r="F7309" s="4"/>
    </row>
    <row r="7310" spans="1:6" x14ac:dyDescent="0.4">
      <c r="A7310" s="4"/>
      <c r="B7310" s="4"/>
      <c r="D7310" s="4"/>
      <c r="E7310" s="4"/>
      <c r="F7310" s="4"/>
    </row>
    <row r="7311" spans="1:6" x14ac:dyDescent="0.4">
      <c r="A7311" s="4"/>
      <c r="B7311" s="4"/>
      <c r="D7311" s="4"/>
      <c r="E7311" s="4"/>
      <c r="F7311" s="4"/>
    </row>
    <row r="7312" spans="1:6" x14ac:dyDescent="0.4">
      <c r="A7312" s="4"/>
      <c r="B7312" s="4"/>
      <c r="D7312" s="4"/>
      <c r="E7312" s="4"/>
      <c r="F7312" s="4"/>
    </row>
    <row r="7313" spans="1:6" x14ac:dyDescent="0.4">
      <c r="A7313" s="4"/>
      <c r="B7313" s="4"/>
      <c r="D7313" s="4"/>
      <c r="E7313" s="4"/>
      <c r="F7313" s="4"/>
    </row>
    <row r="7314" spans="1:6" x14ac:dyDescent="0.4">
      <c r="A7314" s="4"/>
      <c r="B7314" s="4"/>
      <c r="D7314" s="4"/>
      <c r="E7314" s="4"/>
      <c r="F7314" s="4"/>
    </row>
    <row r="7315" spans="1:6" x14ac:dyDescent="0.4">
      <c r="A7315" s="4"/>
      <c r="B7315" s="4"/>
      <c r="D7315" s="4"/>
      <c r="E7315" s="4"/>
      <c r="F7315" s="4"/>
    </row>
    <row r="7316" spans="1:6" x14ac:dyDescent="0.4">
      <c r="A7316" s="4"/>
      <c r="B7316" s="4"/>
      <c r="D7316" s="4"/>
      <c r="E7316" s="4"/>
      <c r="F7316" s="4"/>
    </row>
    <row r="7317" spans="1:6" x14ac:dyDescent="0.4">
      <c r="A7317" s="4"/>
      <c r="B7317" s="4"/>
      <c r="D7317" s="4"/>
      <c r="E7317" s="4"/>
      <c r="F7317" s="4"/>
    </row>
    <row r="7318" spans="1:6" x14ac:dyDescent="0.4">
      <c r="A7318" s="4"/>
      <c r="B7318" s="4"/>
      <c r="D7318" s="4"/>
      <c r="E7318" s="4"/>
      <c r="F7318" s="4"/>
    </row>
    <row r="7319" spans="1:6" x14ac:dyDescent="0.4">
      <c r="A7319" s="4"/>
      <c r="B7319" s="4"/>
      <c r="D7319" s="4"/>
      <c r="E7319" s="4"/>
      <c r="F7319" s="4"/>
    </row>
    <row r="7320" spans="1:6" x14ac:dyDescent="0.4">
      <c r="A7320" s="4"/>
      <c r="B7320" s="4"/>
      <c r="D7320" s="4"/>
      <c r="E7320" s="4"/>
      <c r="F7320" s="4"/>
    </row>
    <row r="7321" spans="1:6" x14ac:dyDescent="0.4">
      <c r="A7321" s="4"/>
      <c r="B7321" s="4"/>
      <c r="D7321" s="4"/>
      <c r="E7321" s="4"/>
      <c r="F7321" s="4"/>
    </row>
    <row r="7322" spans="1:6" x14ac:dyDescent="0.4">
      <c r="A7322" s="4"/>
      <c r="B7322" s="4"/>
      <c r="D7322" s="4"/>
      <c r="E7322" s="4"/>
      <c r="F7322" s="4"/>
    </row>
    <row r="7323" spans="1:6" x14ac:dyDescent="0.4">
      <c r="A7323" s="4"/>
      <c r="B7323" s="4"/>
      <c r="D7323" s="4"/>
      <c r="E7323" s="4"/>
      <c r="F7323" s="4"/>
    </row>
    <row r="7324" spans="1:6" x14ac:dyDescent="0.4">
      <c r="A7324" s="4"/>
      <c r="B7324" s="4"/>
      <c r="D7324" s="4"/>
      <c r="E7324" s="4"/>
      <c r="F7324" s="4"/>
    </row>
    <row r="7325" spans="1:6" x14ac:dyDescent="0.4">
      <c r="A7325" s="4"/>
      <c r="B7325" s="4"/>
      <c r="D7325" s="4"/>
      <c r="E7325" s="4"/>
      <c r="F7325" s="4"/>
    </row>
    <row r="7326" spans="1:6" x14ac:dyDescent="0.4">
      <c r="A7326" s="4"/>
      <c r="B7326" s="4"/>
      <c r="D7326" s="4"/>
      <c r="E7326" s="4"/>
      <c r="F7326" s="4"/>
    </row>
    <row r="7327" spans="1:6" x14ac:dyDescent="0.4">
      <c r="A7327" s="4"/>
      <c r="B7327" s="4"/>
      <c r="D7327" s="4"/>
      <c r="E7327" s="4"/>
      <c r="F7327" s="4"/>
    </row>
    <row r="7328" spans="1:6" x14ac:dyDescent="0.4">
      <c r="A7328" s="4"/>
      <c r="B7328" s="4"/>
      <c r="D7328" s="4"/>
      <c r="E7328" s="4"/>
      <c r="F7328" s="4"/>
    </row>
    <row r="7329" spans="1:6" x14ac:dyDescent="0.4">
      <c r="A7329" s="4"/>
      <c r="B7329" s="4"/>
      <c r="D7329" s="4"/>
      <c r="E7329" s="4"/>
      <c r="F7329" s="4"/>
    </row>
    <row r="7330" spans="1:6" x14ac:dyDescent="0.4">
      <c r="A7330" s="4"/>
      <c r="B7330" s="4"/>
      <c r="D7330" s="4"/>
      <c r="E7330" s="4"/>
      <c r="F7330" s="4"/>
    </row>
    <row r="7331" spans="1:6" x14ac:dyDescent="0.4">
      <c r="A7331" s="4"/>
      <c r="B7331" s="4"/>
      <c r="D7331" s="4"/>
      <c r="E7331" s="4"/>
      <c r="F7331" s="4"/>
    </row>
    <row r="7332" spans="1:6" x14ac:dyDescent="0.4">
      <c r="A7332" s="4"/>
      <c r="B7332" s="4"/>
      <c r="D7332" s="4"/>
      <c r="E7332" s="4"/>
      <c r="F7332" s="4"/>
    </row>
    <row r="7333" spans="1:6" x14ac:dyDescent="0.4">
      <c r="A7333" s="4"/>
      <c r="B7333" s="4"/>
      <c r="D7333" s="4"/>
      <c r="E7333" s="4"/>
      <c r="F7333" s="4"/>
    </row>
    <row r="7334" spans="1:6" x14ac:dyDescent="0.4">
      <c r="A7334" s="4"/>
      <c r="B7334" s="4"/>
      <c r="D7334" s="4"/>
      <c r="E7334" s="4"/>
      <c r="F7334" s="4"/>
    </row>
    <row r="7335" spans="1:6" x14ac:dyDescent="0.4">
      <c r="A7335" s="4"/>
      <c r="B7335" s="4"/>
      <c r="D7335" s="4"/>
      <c r="E7335" s="4"/>
      <c r="F7335" s="4"/>
    </row>
    <row r="7336" spans="1:6" x14ac:dyDescent="0.4">
      <c r="A7336" s="4"/>
      <c r="B7336" s="4"/>
      <c r="D7336" s="4"/>
      <c r="E7336" s="4"/>
      <c r="F7336" s="4"/>
    </row>
    <row r="7337" spans="1:6" x14ac:dyDescent="0.4">
      <c r="A7337" s="4"/>
      <c r="B7337" s="4"/>
      <c r="D7337" s="4"/>
      <c r="E7337" s="4"/>
      <c r="F7337" s="4"/>
    </row>
    <row r="7338" spans="1:6" x14ac:dyDescent="0.4">
      <c r="A7338" s="4"/>
      <c r="B7338" s="4"/>
      <c r="D7338" s="4"/>
      <c r="E7338" s="4"/>
      <c r="F7338" s="4"/>
    </row>
    <row r="7339" spans="1:6" x14ac:dyDescent="0.4">
      <c r="A7339" s="4"/>
      <c r="B7339" s="4"/>
      <c r="D7339" s="4"/>
      <c r="E7339" s="4"/>
      <c r="F7339" s="4"/>
    </row>
    <row r="7340" spans="1:6" x14ac:dyDescent="0.4">
      <c r="A7340" s="4"/>
      <c r="B7340" s="4"/>
      <c r="D7340" s="4"/>
      <c r="E7340" s="4"/>
      <c r="F7340" s="4"/>
    </row>
    <row r="7341" spans="1:6" x14ac:dyDescent="0.4">
      <c r="A7341" s="4"/>
      <c r="B7341" s="4"/>
      <c r="D7341" s="4"/>
      <c r="E7341" s="4"/>
      <c r="F7341" s="4"/>
    </row>
    <row r="7342" spans="1:6" x14ac:dyDescent="0.4">
      <c r="A7342" s="4"/>
      <c r="B7342" s="4"/>
      <c r="D7342" s="4"/>
      <c r="E7342" s="4"/>
      <c r="F7342" s="4"/>
    </row>
    <row r="7343" spans="1:6" x14ac:dyDescent="0.4">
      <c r="A7343" s="4"/>
      <c r="B7343" s="4"/>
      <c r="D7343" s="4"/>
      <c r="E7343" s="4"/>
      <c r="F7343" s="4"/>
    </row>
    <row r="7344" spans="1:6" x14ac:dyDescent="0.4">
      <c r="A7344" s="4"/>
      <c r="B7344" s="4"/>
      <c r="D7344" s="4"/>
      <c r="E7344" s="4"/>
      <c r="F7344" s="4"/>
    </row>
    <row r="7345" spans="1:6" x14ac:dyDescent="0.4">
      <c r="A7345" s="4"/>
      <c r="B7345" s="4"/>
      <c r="D7345" s="4"/>
      <c r="E7345" s="4"/>
      <c r="F7345" s="4"/>
    </row>
    <row r="7346" spans="1:6" x14ac:dyDescent="0.4">
      <c r="A7346" s="4"/>
      <c r="B7346" s="4"/>
      <c r="D7346" s="4"/>
      <c r="E7346" s="4"/>
      <c r="F7346" s="4"/>
    </row>
    <row r="7347" spans="1:6" x14ac:dyDescent="0.4">
      <c r="A7347" s="4"/>
      <c r="B7347" s="4"/>
      <c r="D7347" s="4"/>
      <c r="E7347" s="4"/>
      <c r="F7347" s="4"/>
    </row>
    <row r="7348" spans="1:6" x14ac:dyDescent="0.4">
      <c r="A7348" s="4"/>
      <c r="B7348" s="4"/>
      <c r="D7348" s="4"/>
      <c r="E7348" s="4"/>
      <c r="F7348" s="4"/>
    </row>
    <row r="7349" spans="1:6" x14ac:dyDescent="0.4">
      <c r="A7349" s="4"/>
      <c r="B7349" s="4"/>
      <c r="D7349" s="4"/>
      <c r="E7349" s="4"/>
      <c r="F7349" s="4"/>
    </row>
    <row r="7350" spans="1:6" x14ac:dyDescent="0.4">
      <c r="A7350" s="4"/>
      <c r="B7350" s="4"/>
      <c r="D7350" s="4"/>
      <c r="E7350" s="4"/>
      <c r="F7350" s="4"/>
    </row>
    <row r="7351" spans="1:6" x14ac:dyDescent="0.4">
      <c r="A7351" s="4"/>
      <c r="B7351" s="4"/>
      <c r="D7351" s="4"/>
      <c r="E7351" s="4"/>
      <c r="F7351" s="4"/>
    </row>
    <row r="7352" spans="1:6" x14ac:dyDescent="0.4">
      <c r="A7352" s="4"/>
      <c r="B7352" s="4"/>
      <c r="D7352" s="4"/>
      <c r="E7352" s="4"/>
      <c r="F7352" s="4"/>
    </row>
    <row r="7353" spans="1:6" x14ac:dyDescent="0.4">
      <c r="A7353" s="4"/>
      <c r="B7353" s="4"/>
      <c r="D7353" s="4"/>
      <c r="E7353" s="4"/>
      <c r="F7353" s="4"/>
    </row>
    <row r="7354" spans="1:6" x14ac:dyDescent="0.4">
      <c r="A7354" s="4"/>
      <c r="B7354" s="4"/>
      <c r="D7354" s="4"/>
      <c r="E7354" s="4"/>
      <c r="F7354" s="4"/>
    </row>
    <row r="7355" spans="1:6" x14ac:dyDescent="0.4">
      <c r="A7355" s="4"/>
      <c r="B7355" s="4"/>
      <c r="D7355" s="4"/>
      <c r="E7355" s="4"/>
      <c r="F7355" s="4"/>
    </row>
    <row r="7356" spans="1:6" x14ac:dyDescent="0.4">
      <c r="A7356" s="4"/>
      <c r="B7356" s="4"/>
      <c r="D7356" s="4"/>
      <c r="E7356" s="4"/>
      <c r="F7356" s="4"/>
    </row>
    <row r="7357" spans="1:6" x14ac:dyDescent="0.4">
      <c r="A7357" s="4"/>
      <c r="B7357" s="4"/>
      <c r="D7357" s="4"/>
      <c r="E7357" s="4"/>
      <c r="F7357" s="4"/>
    </row>
    <row r="7358" spans="1:6" x14ac:dyDescent="0.4">
      <c r="A7358" s="4"/>
      <c r="B7358" s="4"/>
      <c r="D7358" s="4"/>
      <c r="E7358" s="4"/>
      <c r="F7358" s="4"/>
    </row>
    <row r="7359" spans="1:6" x14ac:dyDescent="0.4">
      <c r="A7359" s="4"/>
      <c r="B7359" s="4"/>
      <c r="D7359" s="4"/>
      <c r="E7359" s="4"/>
      <c r="F7359" s="4"/>
    </row>
    <row r="7360" spans="1:6" x14ac:dyDescent="0.4">
      <c r="A7360" s="4"/>
      <c r="B7360" s="4"/>
      <c r="D7360" s="4"/>
      <c r="E7360" s="4"/>
      <c r="F7360" s="4"/>
    </row>
    <row r="7361" spans="1:6" x14ac:dyDescent="0.4">
      <c r="A7361" s="4"/>
      <c r="B7361" s="4"/>
      <c r="D7361" s="4"/>
      <c r="E7361" s="4"/>
      <c r="F7361" s="4"/>
    </row>
    <row r="7362" spans="1:6" x14ac:dyDescent="0.4">
      <c r="A7362" s="4"/>
      <c r="B7362" s="4"/>
      <c r="D7362" s="4"/>
      <c r="E7362" s="4"/>
      <c r="F7362" s="4"/>
    </row>
    <row r="7363" spans="1:6" x14ac:dyDescent="0.4">
      <c r="A7363" s="4"/>
      <c r="B7363" s="4"/>
      <c r="D7363" s="4"/>
      <c r="E7363" s="4"/>
      <c r="F7363" s="4"/>
    </row>
    <row r="7364" spans="1:6" x14ac:dyDescent="0.4">
      <c r="A7364" s="4"/>
      <c r="B7364" s="4"/>
      <c r="D7364" s="4"/>
      <c r="E7364" s="4"/>
      <c r="F7364" s="4"/>
    </row>
    <row r="7365" spans="1:6" x14ac:dyDescent="0.4">
      <c r="A7365" s="4"/>
      <c r="B7365" s="4"/>
      <c r="D7365" s="4"/>
      <c r="E7365" s="4"/>
      <c r="F7365" s="4"/>
    </row>
    <row r="7366" spans="1:6" x14ac:dyDescent="0.4">
      <c r="A7366" s="4"/>
      <c r="B7366" s="4"/>
      <c r="D7366" s="4"/>
      <c r="E7366" s="4"/>
      <c r="F7366" s="4"/>
    </row>
    <row r="7367" spans="1:6" x14ac:dyDescent="0.4">
      <c r="A7367" s="4"/>
      <c r="B7367" s="4"/>
      <c r="D7367" s="4"/>
      <c r="E7367" s="4"/>
      <c r="F7367" s="4"/>
    </row>
    <row r="7368" spans="1:6" x14ac:dyDescent="0.4">
      <c r="A7368" s="4"/>
      <c r="B7368" s="4"/>
      <c r="D7368" s="4"/>
      <c r="E7368" s="4"/>
      <c r="F7368" s="4"/>
    </row>
    <row r="7369" spans="1:6" x14ac:dyDescent="0.4">
      <c r="A7369" s="4"/>
      <c r="B7369" s="4"/>
      <c r="D7369" s="4"/>
      <c r="E7369" s="4"/>
      <c r="F7369" s="4"/>
    </row>
    <row r="7370" spans="1:6" x14ac:dyDescent="0.4">
      <c r="A7370" s="4"/>
      <c r="B7370" s="4"/>
      <c r="D7370" s="4"/>
      <c r="E7370" s="4"/>
      <c r="F7370" s="4"/>
    </row>
    <row r="7371" spans="1:6" x14ac:dyDescent="0.4">
      <c r="A7371" s="4"/>
      <c r="B7371" s="4"/>
      <c r="D7371" s="4"/>
      <c r="E7371" s="4"/>
      <c r="F7371" s="4"/>
    </row>
    <row r="7372" spans="1:6" x14ac:dyDescent="0.4">
      <c r="A7372" s="4"/>
      <c r="B7372" s="4"/>
      <c r="D7372" s="4"/>
      <c r="E7372" s="4"/>
      <c r="F7372" s="4"/>
    </row>
    <row r="7373" spans="1:6" x14ac:dyDescent="0.4">
      <c r="A7373" s="4"/>
      <c r="B7373" s="4"/>
      <c r="D7373" s="4"/>
      <c r="E7373" s="4"/>
      <c r="F7373" s="4"/>
    </row>
    <row r="7374" spans="1:6" x14ac:dyDescent="0.4">
      <c r="A7374" s="4"/>
      <c r="B7374" s="4"/>
      <c r="D7374" s="4"/>
      <c r="E7374" s="4"/>
      <c r="F7374" s="4"/>
    </row>
    <row r="7375" spans="1:6" x14ac:dyDescent="0.4">
      <c r="A7375" s="4"/>
      <c r="B7375" s="4"/>
      <c r="D7375" s="4"/>
      <c r="E7375" s="4"/>
      <c r="F7375" s="4"/>
    </row>
    <row r="7376" spans="1:6" x14ac:dyDescent="0.4">
      <c r="A7376" s="4"/>
      <c r="B7376" s="4"/>
      <c r="D7376" s="4"/>
      <c r="E7376" s="4"/>
      <c r="F7376" s="4"/>
    </row>
    <row r="7377" spans="1:6" x14ac:dyDescent="0.4">
      <c r="A7377" s="4"/>
      <c r="B7377" s="4"/>
      <c r="D7377" s="4"/>
      <c r="E7377" s="4"/>
      <c r="F7377" s="4"/>
    </row>
    <row r="7378" spans="1:6" x14ac:dyDescent="0.4">
      <c r="A7378" s="4"/>
      <c r="B7378" s="4"/>
      <c r="D7378" s="4"/>
      <c r="E7378" s="4"/>
      <c r="F7378" s="4"/>
    </row>
    <row r="7379" spans="1:6" x14ac:dyDescent="0.4">
      <c r="A7379" s="4"/>
      <c r="B7379" s="4"/>
      <c r="D7379" s="4"/>
      <c r="E7379" s="4"/>
      <c r="F7379" s="4"/>
    </row>
    <row r="7380" spans="1:6" x14ac:dyDescent="0.4">
      <c r="A7380" s="4"/>
      <c r="B7380" s="4"/>
      <c r="D7380" s="4"/>
      <c r="E7380" s="4"/>
      <c r="F7380" s="4"/>
    </row>
    <row r="7381" spans="1:6" x14ac:dyDescent="0.4">
      <c r="A7381" s="4"/>
      <c r="B7381" s="4"/>
      <c r="D7381" s="4"/>
      <c r="E7381" s="4"/>
      <c r="F7381" s="4"/>
    </row>
    <row r="7382" spans="1:6" x14ac:dyDescent="0.4">
      <c r="A7382" s="4"/>
      <c r="B7382" s="4"/>
      <c r="D7382" s="4"/>
      <c r="E7382" s="4"/>
      <c r="F7382" s="4"/>
    </row>
    <row r="7383" spans="1:6" x14ac:dyDescent="0.4">
      <c r="A7383" s="4"/>
      <c r="B7383" s="4"/>
      <c r="D7383" s="4"/>
      <c r="E7383" s="4"/>
      <c r="F7383" s="4"/>
    </row>
    <row r="7384" spans="1:6" x14ac:dyDescent="0.4">
      <c r="A7384" s="4"/>
      <c r="B7384" s="4"/>
      <c r="D7384" s="4"/>
      <c r="E7384" s="4"/>
      <c r="F7384" s="4"/>
    </row>
    <row r="7385" spans="1:6" x14ac:dyDescent="0.4">
      <c r="A7385" s="4"/>
      <c r="B7385" s="4"/>
      <c r="D7385" s="4"/>
      <c r="E7385" s="4"/>
      <c r="F7385" s="4"/>
    </row>
    <row r="7386" spans="1:6" x14ac:dyDescent="0.4">
      <c r="A7386" s="4"/>
      <c r="B7386" s="4"/>
      <c r="D7386" s="4"/>
      <c r="E7386" s="4"/>
      <c r="F7386" s="4"/>
    </row>
    <row r="7387" spans="1:6" x14ac:dyDescent="0.4">
      <c r="A7387" s="4"/>
      <c r="B7387" s="4"/>
      <c r="D7387" s="4"/>
      <c r="E7387" s="4"/>
      <c r="F7387" s="4"/>
    </row>
    <row r="7388" spans="1:6" x14ac:dyDescent="0.4">
      <c r="A7388" s="4"/>
      <c r="B7388" s="4"/>
      <c r="D7388" s="4"/>
      <c r="E7388" s="4"/>
      <c r="F7388" s="4"/>
    </row>
    <row r="7389" spans="1:6" x14ac:dyDescent="0.4">
      <c r="A7389" s="4"/>
      <c r="B7389" s="4"/>
      <c r="D7389" s="4"/>
      <c r="E7389" s="4"/>
      <c r="F7389" s="4"/>
    </row>
    <row r="7390" spans="1:6" x14ac:dyDescent="0.4">
      <c r="A7390" s="4"/>
      <c r="B7390" s="4"/>
      <c r="D7390" s="4"/>
      <c r="E7390" s="4"/>
      <c r="F7390" s="4"/>
    </row>
    <row r="7391" spans="1:6" x14ac:dyDescent="0.4">
      <c r="A7391" s="4"/>
      <c r="B7391" s="4"/>
      <c r="D7391" s="4"/>
      <c r="E7391" s="4"/>
      <c r="F7391" s="4"/>
    </row>
    <row r="7392" spans="1:6" x14ac:dyDescent="0.4">
      <c r="A7392" s="4"/>
      <c r="B7392" s="4"/>
      <c r="D7392" s="4"/>
      <c r="E7392" s="4"/>
      <c r="F7392" s="4"/>
    </row>
    <row r="7393" spans="1:6" x14ac:dyDescent="0.4">
      <c r="A7393" s="4"/>
      <c r="B7393" s="4"/>
      <c r="D7393" s="4"/>
      <c r="E7393" s="4"/>
      <c r="F7393" s="4"/>
    </row>
    <row r="7394" spans="1:6" x14ac:dyDescent="0.4">
      <c r="A7394" s="4"/>
      <c r="B7394" s="4"/>
      <c r="D7394" s="4"/>
      <c r="E7394" s="4"/>
      <c r="F7394" s="4"/>
    </row>
    <row r="7395" spans="1:6" x14ac:dyDescent="0.4">
      <c r="A7395" s="4"/>
      <c r="B7395" s="4"/>
      <c r="D7395" s="4"/>
      <c r="E7395" s="4"/>
      <c r="F7395" s="4"/>
    </row>
    <row r="7396" spans="1:6" x14ac:dyDescent="0.4">
      <c r="A7396" s="4"/>
      <c r="B7396" s="4"/>
      <c r="D7396" s="4"/>
      <c r="E7396" s="4"/>
      <c r="F7396" s="4"/>
    </row>
    <row r="7397" spans="1:6" x14ac:dyDescent="0.4">
      <c r="A7397" s="4"/>
      <c r="B7397" s="4"/>
      <c r="D7397" s="4"/>
      <c r="E7397" s="4"/>
      <c r="F7397" s="4"/>
    </row>
    <row r="7398" spans="1:6" x14ac:dyDescent="0.4">
      <c r="A7398" s="4"/>
      <c r="B7398" s="4"/>
      <c r="D7398" s="4"/>
      <c r="E7398" s="4"/>
      <c r="F7398" s="4"/>
    </row>
    <row r="7399" spans="1:6" x14ac:dyDescent="0.4">
      <c r="A7399" s="4"/>
      <c r="B7399" s="4"/>
      <c r="D7399" s="4"/>
      <c r="E7399" s="4"/>
      <c r="F7399" s="4"/>
    </row>
    <row r="7400" spans="1:6" x14ac:dyDescent="0.4">
      <c r="A7400" s="4"/>
      <c r="B7400" s="4"/>
      <c r="D7400" s="4"/>
      <c r="E7400" s="4"/>
      <c r="F7400" s="4"/>
    </row>
    <row r="7401" spans="1:6" x14ac:dyDescent="0.4">
      <c r="A7401" s="4"/>
      <c r="B7401" s="4"/>
      <c r="D7401" s="4"/>
      <c r="E7401" s="4"/>
      <c r="F7401" s="4"/>
    </row>
    <row r="7402" spans="1:6" x14ac:dyDescent="0.4">
      <c r="A7402" s="4"/>
      <c r="B7402" s="4"/>
      <c r="D7402" s="4"/>
      <c r="E7402" s="4"/>
      <c r="F7402" s="4"/>
    </row>
    <row r="7403" spans="1:6" x14ac:dyDescent="0.4">
      <c r="A7403" s="4"/>
      <c r="B7403" s="4"/>
      <c r="D7403" s="4"/>
      <c r="E7403" s="4"/>
      <c r="F7403" s="4"/>
    </row>
    <row r="7404" spans="1:6" x14ac:dyDescent="0.4">
      <c r="A7404" s="4"/>
      <c r="B7404" s="4"/>
      <c r="D7404" s="4"/>
      <c r="E7404" s="4"/>
      <c r="F7404" s="4"/>
    </row>
    <row r="7405" spans="1:6" x14ac:dyDescent="0.4">
      <c r="A7405" s="4"/>
      <c r="B7405" s="4"/>
      <c r="D7405" s="4"/>
      <c r="E7405" s="4"/>
      <c r="F7405" s="4"/>
    </row>
    <row r="7406" spans="1:6" x14ac:dyDescent="0.4">
      <c r="A7406" s="4"/>
      <c r="B7406" s="4"/>
      <c r="D7406" s="4"/>
      <c r="E7406" s="4"/>
      <c r="F7406" s="4"/>
    </row>
    <row r="7407" spans="1:6" x14ac:dyDescent="0.4">
      <c r="A7407" s="4"/>
      <c r="B7407" s="4"/>
      <c r="D7407" s="4"/>
      <c r="E7407" s="4"/>
      <c r="F7407" s="4"/>
    </row>
    <row r="7408" spans="1:6" x14ac:dyDescent="0.4">
      <c r="A7408" s="4"/>
      <c r="B7408" s="4"/>
      <c r="D7408" s="4"/>
      <c r="E7408" s="4"/>
      <c r="F7408" s="4"/>
    </row>
    <row r="7409" spans="1:6" x14ac:dyDescent="0.4">
      <c r="A7409" s="4"/>
      <c r="B7409" s="4"/>
      <c r="D7409" s="4"/>
      <c r="E7409" s="4"/>
      <c r="F7409" s="4"/>
    </row>
    <row r="7410" spans="1:6" x14ac:dyDescent="0.4">
      <c r="A7410" s="4"/>
      <c r="B7410" s="4"/>
      <c r="D7410" s="4"/>
      <c r="E7410" s="4"/>
      <c r="F7410" s="4"/>
    </row>
    <row r="7411" spans="1:6" x14ac:dyDescent="0.4">
      <c r="A7411" s="4"/>
      <c r="B7411" s="4"/>
      <c r="D7411" s="4"/>
      <c r="E7411" s="4"/>
      <c r="F7411" s="4"/>
    </row>
    <row r="7412" spans="1:6" x14ac:dyDescent="0.4">
      <c r="A7412" s="4"/>
      <c r="B7412" s="4"/>
      <c r="D7412" s="4"/>
      <c r="E7412" s="4"/>
      <c r="F7412" s="4"/>
    </row>
    <row r="7413" spans="1:6" x14ac:dyDescent="0.4">
      <c r="A7413" s="4"/>
      <c r="B7413" s="4"/>
      <c r="D7413" s="4"/>
      <c r="E7413" s="4"/>
      <c r="F7413" s="4"/>
    </row>
    <row r="7414" spans="1:6" x14ac:dyDescent="0.4">
      <c r="A7414" s="4"/>
      <c r="B7414" s="4"/>
      <c r="D7414" s="4"/>
      <c r="E7414" s="4"/>
      <c r="F7414" s="4"/>
    </row>
    <row r="7415" spans="1:6" x14ac:dyDescent="0.4">
      <c r="A7415" s="4"/>
      <c r="B7415" s="4"/>
      <c r="D7415" s="4"/>
      <c r="E7415" s="4"/>
      <c r="F7415" s="4"/>
    </row>
    <row r="7416" spans="1:6" x14ac:dyDescent="0.4">
      <c r="A7416" s="4"/>
      <c r="B7416" s="4"/>
      <c r="D7416" s="4"/>
      <c r="E7416" s="4"/>
      <c r="F7416" s="4"/>
    </row>
    <row r="7417" spans="1:6" x14ac:dyDescent="0.4">
      <c r="A7417" s="4"/>
      <c r="B7417" s="4"/>
      <c r="D7417" s="4"/>
      <c r="E7417" s="4"/>
      <c r="F7417" s="4"/>
    </row>
    <row r="7418" spans="1:6" x14ac:dyDescent="0.4">
      <c r="A7418" s="4"/>
      <c r="B7418" s="4"/>
      <c r="D7418" s="4"/>
      <c r="E7418" s="4"/>
      <c r="F7418" s="4"/>
    </row>
    <row r="7419" spans="1:6" x14ac:dyDescent="0.4">
      <c r="A7419" s="4"/>
      <c r="B7419" s="4"/>
      <c r="D7419" s="4"/>
      <c r="E7419" s="4"/>
      <c r="F7419" s="4"/>
    </row>
    <row r="7420" spans="1:6" x14ac:dyDescent="0.4">
      <c r="A7420" s="4"/>
      <c r="B7420" s="4"/>
      <c r="D7420" s="4"/>
      <c r="E7420" s="4"/>
      <c r="F7420" s="4"/>
    </row>
    <row r="7421" spans="1:6" x14ac:dyDescent="0.4">
      <c r="A7421" s="4"/>
      <c r="B7421" s="4"/>
      <c r="D7421" s="4"/>
      <c r="E7421" s="4"/>
      <c r="F7421" s="4"/>
    </row>
    <row r="7422" spans="1:6" x14ac:dyDescent="0.4">
      <c r="A7422" s="4"/>
      <c r="B7422" s="4"/>
      <c r="D7422" s="4"/>
      <c r="E7422" s="4"/>
      <c r="F7422" s="4"/>
    </row>
    <row r="7423" spans="1:6" x14ac:dyDescent="0.4">
      <c r="A7423" s="4"/>
      <c r="B7423" s="4"/>
      <c r="D7423" s="4"/>
      <c r="E7423" s="4"/>
      <c r="F7423" s="4"/>
    </row>
    <row r="7424" spans="1:6" x14ac:dyDescent="0.4">
      <c r="A7424" s="4"/>
      <c r="B7424" s="4"/>
      <c r="D7424" s="4"/>
      <c r="E7424" s="4"/>
      <c r="F7424" s="4"/>
    </row>
    <row r="7425" spans="1:6" x14ac:dyDescent="0.4">
      <c r="A7425" s="4"/>
      <c r="B7425" s="4"/>
      <c r="D7425" s="4"/>
      <c r="E7425" s="4"/>
      <c r="F7425" s="4"/>
    </row>
    <row r="7426" spans="1:6" x14ac:dyDescent="0.4">
      <c r="A7426" s="4"/>
      <c r="B7426" s="4"/>
      <c r="D7426" s="4"/>
      <c r="E7426" s="4"/>
      <c r="F7426" s="4"/>
    </row>
    <row r="7427" spans="1:6" x14ac:dyDescent="0.4">
      <c r="A7427" s="4"/>
      <c r="B7427" s="4"/>
      <c r="D7427" s="4"/>
      <c r="E7427" s="4"/>
      <c r="F7427" s="4"/>
    </row>
    <row r="7428" spans="1:6" x14ac:dyDescent="0.4">
      <c r="A7428" s="4"/>
      <c r="B7428" s="4"/>
      <c r="D7428" s="4"/>
      <c r="E7428" s="4"/>
      <c r="F7428" s="4"/>
    </row>
    <row r="7429" spans="1:6" x14ac:dyDescent="0.4">
      <c r="A7429" s="4"/>
      <c r="B7429" s="4"/>
      <c r="D7429" s="4"/>
      <c r="E7429" s="4"/>
      <c r="F7429" s="4"/>
    </row>
    <row r="7430" spans="1:6" x14ac:dyDescent="0.4">
      <c r="A7430" s="4"/>
      <c r="B7430" s="4"/>
      <c r="D7430" s="4"/>
      <c r="E7430" s="4"/>
      <c r="F7430" s="4"/>
    </row>
    <row r="7431" spans="1:6" x14ac:dyDescent="0.4">
      <c r="A7431" s="4"/>
      <c r="B7431" s="4"/>
      <c r="D7431" s="4"/>
      <c r="E7431" s="4"/>
      <c r="F7431" s="4"/>
    </row>
    <row r="7432" spans="1:6" x14ac:dyDescent="0.4">
      <c r="A7432" s="4"/>
      <c r="B7432" s="4"/>
      <c r="D7432" s="4"/>
      <c r="E7432" s="4"/>
      <c r="F7432" s="4"/>
    </row>
    <row r="7433" spans="1:6" x14ac:dyDescent="0.4">
      <c r="A7433" s="4"/>
      <c r="B7433" s="4"/>
      <c r="D7433" s="4"/>
      <c r="E7433" s="4"/>
      <c r="F7433" s="4"/>
    </row>
    <row r="7434" spans="1:6" x14ac:dyDescent="0.4">
      <c r="A7434" s="4"/>
      <c r="B7434" s="4"/>
      <c r="D7434" s="4"/>
      <c r="E7434" s="4"/>
      <c r="F7434" s="4"/>
    </row>
    <row r="7435" spans="1:6" x14ac:dyDescent="0.4">
      <c r="A7435" s="4"/>
      <c r="B7435" s="4"/>
      <c r="D7435" s="4"/>
      <c r="E7435" s="4"/>
      <c r="F7435" s="4"/>
    </row>
    <row r="7436" spans="1:6" x14ac:dyDescent="0.4">
      <c r="A7436" s="4"/>
      <c r="B7436" s="4"/>
      <c r="D7436" s="4"/>
      <c r="E7436" s="4"/>
      <c r="F7436" s="4"/>
    </row>
    <row r="7437" spans="1:6" x14ac:dyDescent="0.4">
      <c r="A7437" s="4"/>
      <c r="B7437" s="4"/>
      <c r="D7437" s="4"/>
      <c r="E7437" s="4"/>
      <c r="F7437" s="4"/>
    </row>
    <row r="7438" spans="1:6" x14ac:dyDescent="0.4">
      <c r="A7438" s="4"/>
      <c r="B7438" s="4"/>
      <c r="D7438" s="4"/>
      <c r="E7438" s="4"/>
      <c r="F7438" s="4"/>
    </row>
    <row r="7439" spans="1:6" x14ac:dyDescent="0.4">
      <c r="A7439" s="4"/>
      <c r="B7439" s="4"/>
      <c r="D7439" s="4"/>
      <c r="E7439" s="4"/>
      <c r="F7439" s="4"/>
    </row>
    <row r="7440" spans="1:6" x14ac:dyDescent="0.4">
      <c r="A7440" s="4"/>
      <c r="B7440" s="4"/>
      <c r="D7440" s="4"/>
      <c r="E7440" s="4"/>
      <c r="F7440" s="4"/>
    </row>
    <row r="7441" spans="1:6" x14ac:dyDescent="0.4">
      <c r="A7441" s="4"/>
      <c r="B7441" s="4"/>
      <c r="D7441" s="4"/>
      <c r="E7441" s="4"/>
      <c r="F7441" s="4"/>
    </row>
    <row r="7442" spans="1:6" x14ac:dyDescent="0.4">
      <c r="A7442" s="4"/>
      <c r="B7442" s="4"/>
      <c r="D7442" s="4"/>
      <c r="E7442" s="4"/>
      <c r="F7442" s="4"/>
    </row>
    <row r="7443" spans="1:6" x14ac:dyDescent="0.4">
      <c r="A7443" s="4"/>
      <c r="B7443" s="4"/>
      <c r="D7443" s="4"/>
      <c r="E7443" s="4"/>
      <c r="F7443" s="4"/>
    </row>
    <row r="7444" spans="1:6" x14ac:dyDescent="0.4">
      <c r="A7444" s="4"/>
      <c r="B7444" s="4"/>
      <c r="D7444" s="4"/>
      <c r="E7444" s="4"/>
      <c r="F7444" s="4"/>
    </row>
    <row r="7445" spans="1:6" x14ac:dyDescent="0.4">
      <c r="A7445" s="4"/>
      <c r="B7445" s="4"/>
      <c r="D7445" s="4"/>
      <c r="E7445" s="4"/>
      <c r="F7445" s="4"/>
    </row>
    <row r="7446" spans="1:6" x14ac:dyDescent="0.4">
      <c r="A7446" s="4"/>
      <c r="B7446" s="4"/>
      <c r="D7446" s="4"/>
      <c r="E7446" s="4"/>
      <c r="F7446" s="4"/>
    </row>
    <row r="7447" spans="1:6" x14ac:dyDescent="0.4">
      <c r="A7447" s="4"/>
      <c r="B7447" s="4"/>
      <c r="D7447" s="4"/>
      <c r="E7447" s="4"/>
      <c r="F7447" s="4"/>
    </row>
    <row r="7448" spans="1:6" x14ac:dyDescent="0.4">
      <c r="A7448" s="4"/>
      <c r="B7448" s="4"/>
      <c r="D7448" s="4"/>
      <c r="E7448" s="4"/>
      <c r="F7448" s="4"/>
    </row>
    <row r="7449" spans="1:6" x14ac:dyDescent="0.4">
      <c r="A7449" s="4"/>
      <c r="B7449" s="4"/>
      <c r="D7449" s="4"/>
      <c r="E7449" s="4"/>
      <c r="F7449" s="4"/>
    </row>
    <row r="7450" spans="1:6" x14ac:dyDescent="0.4">
      <c r="A7450" s="4"/>
      <c r="B7450" s="4"/>
      <c r="D7450" s="4"/>
      <c r="E7450" s="4"/>
      <c r="F7450" s="4"/>
    </row>
    <row r="7451" spans="1:6" x14ac:dyDescent="0.4">
      <c r="A7451" s="4"/>
      <c r="B7451" s="4"/>
      <c r="D7451" s="4"/>
      <c r="E7451" s="4"/>
      <c r="F7451" s="4"/>
    </row>
    <row r="7452" spans="1:6" x14ac:dyDescent="0.4">
      <c r="A7452" s="4"/>
      <c r="B7452" s="4"/>
      <c r="D7452" s="4"/>
      <c r="E7452" s="4"/>
      <c r="F7452" s="4"/>
    </row>
    <row r="7453" spans="1:6" x14ac:dyDescent="0.4">
      <c r="A7453" s="4"/>
      <c r="B7453" s="4"/>
      <c r="D7453" s="4"/>
      <c r="E7453" s="4"/>
      <c r="F7453" s="4"/>
    </row>
    <row r="7454" spans="1:6" x14ac:dyDescent="0.4">
      <c r="A7454" s="4"/>
      <c r="B7454" s="4"/>
      <c r="D7454" s="4"/>
      <c r="E7454" s="4"/>
      <c r="F7454" s="4"/>
    </row>
    <row r="7455" spans="1:6" x14ac:dyDescent="0.4">
      <c r="A7455" s="4"/>
      <c r="B7455" s="4"/>
      <c r="D7455" s="4"/>
      <c r="E7455" s="4"/>
      <c r="F7455" s="4"/>
    </row>
    <row r="7456" spans="1:6" x14ac:dyDescent="0.4">
      <c r="A7456" s="4"/>
      <c r="B7456" s="4"/>
      <c r="D7456" s="4"/>
      <c r="E7456" s="4"/>
      <c r="F7456" s="4"/>
    </row>
    <row r="7457" spans="1:6" x14ac:dyDescent="0.4">
      <c r="A7457" s="4"/>
      <c r="B7457" s="4"/>
      <c r="D7457" s="4"/>
      <c r="E7457" s="4"/>
      <c r="F7457" s="4"/>
    </row>
    <row r="7458" spans="1:6" x14ac:dyDescent="0.4">
      <c r="A7458" s="4"/>
      <c r="B7458" s="4"/>
      <c r="D7458" s="4"/>
      <c r="E7458" s="4"/>
      <c r="F7458" s="4"/>
    </row>
    <row r="7459" spans="1:6" x14ac:dyDescent="0.4">
      <c r="A7459" s="4"/>
      <c r="B7459" s="4"/>
      <c r="D7459" s="4"/>
      <c r="E7459" s="4"/>
      <c r="F7459" s="4"/>
    </row>
    <row r="7460" spans="1:6" x14ac:dyDescent="0.4">
      <c r="A7460" s="4"/>
      <c r="B7460" s="4"/>
      <c r="D7460" s="4"/>
      <c r="E7460" s="4"/>
      <c r="F7460" s="4"/>
    </row>
    <row r="7461" spans="1:6" x14ac:dyDescent="0.4">
      <c r="A7461" s="4"/>
      <c r="B7461" s="4"/>
      <c r="D7461" s="4"/>
      <c r="E7461" s="4"/>
      <c r="F7461" s="4"/>
    </row>
    <row r="7462" spans="1:6" x14ac:dyDescent="0.4">
      <c r="A7462" s="4"/>
      <c r="B7462" s="4"/>
      <c r="D7462" s="4"/>
      <c r="E7462" s="4"/>
      <c r="F7462" s="4"/>
    </row>
    <row r="7463" spans="1:6" x14ac:dyDescent="0.4">
      <c r="A7463" s="4"/>
      <c r="B7463" s="4"/>
      <c r="D7463" s="4"/>
      <c r="E7463" s="4"/>
      <c r="F7463" s="4"/>
    </row>
    <row r="7464" spans="1:6" x14ac:dyDescent="0.4">
      <c r="A7464" s="4"/>
      <c r="B7464" s="4"/>
      <c r="D7464" s="4"/>
      <c r="E7464" s="4"/>
      <c r="F7464" s="4"/>
    </row>
    <row r="7465" spans="1:6" x14ac:dyDescent="0.4">
      <c r="A7465" s="4"/>
      <c r="B7465" s="4"/>
      <c r="D7465" s="4"/>
      <c r="E7465" s="4"/>
      <c r="F7465" s="4"/>
    </row>
    <row r="7466" spans="1:6" x14ac:dyDescent="0.4">
      <c r="A7466" s="4"/>
      <c r="B7466" s="4"/>
      <c r="D7466" s="4"/>
      <c r="E7466" s="4"/>
      <c r="F7466" s="4"/>
    </row>
    <row r="7467" spans="1:6" x14ac:dyDescent="0.4">
      <c r="A7467" s="4"/>
      <c r="B7467" s="4"/>
      <c r="D7467" s="4"/>
      <c r="E7467" s="4"/>
      <c r="F7467" s="4"/>
    </row>
    <row r="7468" spans="1:6" x14ac:dyDescent="0.4">
      <c r="A7468" s="4"/>
      <c r="B7468" s="4"/>
      <c r="D7468" s="4"/>
      <c r="E7468" s="4"/>
      <c r="F7468" s="4"/>
    </row>
    <row r="7469" spans="1:6" x14ac:dyDescent="0.4">
      <c r="A7469" s="4"/>
      <c r="B7469" s="4"/>
      <c r="D7469" s="4"/>
      <c r="E7469" s="4"/>
      <c r="F7469" s="4"/>
    </row>
    <row r="7470" spans="1:6" x14ac:dyDescent="0.4">
      <c r="A7470" s="4"/>
      <c r="B7470" s="4"/>
      <c r="D7470" s="4"/>
      <c r="E7470" s="4"/>
      <c r="F7470" s="4"/>
    </row>
    <row r="7471" spans="1:6" x14ac:dyDescent="0.4">
      <c r="A7471" s="4"/>
      <c r="B7471" s="4"/>
      <c r="D7471" s="4"/>
      <c r="E7471" s="4"/>
      <c r="F7471" s="4"/>
    </row>
    <row r="7472" spans="1:6" x14ac:dyDescent="0.4">
      <c r="A7472" s="4"/>
      <c r="B7472" s="4"/>
      <c r="D7472" s="4"/>
      <c r="E7472" s="4"/>
      <c r="F7472" s="4"/>
    </row>
    <row r="7473" spans="1:6" x14ac:dyDescent="0.4">
      <c r="A7473" s="4"/>
      <c r="B7473" s="4"/>
      <c r="D7473" s="4"/>
      <c r="E7473" s="4"/>
      <c r="F7473" s="4"/>
    </row>
    <row r="7474" spans="1:6" x14ac:dyDescent="0.4">
      <c r="A7474" s="4"/>
      <c r="B7474" s="4"/>
      <c r="D7474" s="4"/>
      <c r="E7474" s="4"/>
      <c r="F7474" s="4"/>
    </row>
    <row r="7475" spans="1:6" x14ac:dyDescent="0.4">
      <c r="A7475" s="4"/>
      <c r="B7475" s="4"/>
      <c r="D7475" s="4"/>
      <c r="E7475" s="4"/>
      <c r="F7475" s="4"/>
    </row>
    <row r="7476" spans="1:6" x14ac:dyDescent="0.4">
      <c r="A7476" s="4"/>
      <c r="B7476" s="4"/>
      <c r="D7476" s="4"/>
      <c r="E7476" s="4"/>
      <c r="F7476" s="4"/>
    </row>
    <row r="7477" spans="1:6" x14ac:dyDescent="0.4">
      <c r="A7477" s="4"/>
      <c r="B7477" s="4"/>
      <c r="D7477" s="4"/>
      <c r="E7477" s="4"/>
      <c r="F7477" s="4"/>
    </row>
    <row r="7478" spans="1:6" x14ac:dyDescent="0.4">
      <c r="A7478" s="4"/>
      <c r="B7478" s="4"/>
      <c r="D7478" s="4"/>
      <c r="E7478" s="4"/>
      <c r="F7478" s="4"/>
    </row>
    <row r="7479" spans="1:6" x14ac:dyDescent="0.4">
      <c r="A7479" s="4"/>
      <c r="B7479" s="4"/>
      <c r="D7479" s="4"/>
      <c r="E7479" s="4"/>
      <c r="F7479" s="4"/>
    </row>
    <row r="7480" spans="1:6" x14ac:dyDescent="0.4">
      <c r="A7480" s="4"/>
      <c r="B7480" s="4"/>
      <c r="D7480" s="4"/>
      <c r="E7480" s="4"/>
      <c r="F7480" s="4"/>
    </row>
    <row r="7481" spans="1:6" x14ac:dyDescent="0.4">
      <c r="A7481" s="4"/>
      <c r="B7481" s="4"/>
      <c r="D7481" s="4"/>
      <c r="E7481" s="4"/>
      <c r="F7481" s="4"/>
    </row>
    <row r="7482" spans="1:6" x14ac:dyDescent="0.4">
      <c r="A7482" s="4"/>
      <c r="B7482" s="4"/>
      <c r="D7482" s="4"/>
      <c r="E7482" s="4"/>
      <c r="F7482" s="4"/>
    </row>
    <row r="7483" spans="1:6" x14ac:dyDescent="0.4">
      <c r="A7483" s="4"/>
      <c r="B7483" s="4"/>
      <c r="D7483" s="4"/>
      <c r="E7483" s="4"/>
      <c r="F7483" s="4"/>
    </row>
    <row r="7484" spans="1:6" x14ac:dyDescent="0.4">
      <c r="A7484" s="4"/>
      <c r="B7484" s="4"/>
      <c r="D7484" s="4"/>
      <c r="E7484" s="4"/>
      <c r="F7484" s="4"/>
    </row>
    <row r="7485" spans="1:6" x14ac:dyDescent="0.4">
      <c r="A7485" s="4"/>
      <c r="B7485" s="4"/>
      <c r="D7485" s="4"/>
      <c r="E7485" s="4"/>
      <c r="F7485" s="4"/>
    </row>
    <row r="7486" spans="1:6" x14ac:dyDescent="0.4">
      <c r="A7486" s="4"/>
      <c r="B7486" s="4"/>
      <c r="D7486" s="4"/>
      <c r="E7486" s="4"/>
      <c r="F7486" s="4"/>
    </row>
    <row r="7487" spans="1:6" x14ac:dyDescent="0.4">
      <c r="A7487" s="4"/>
      <c r="B7487" s="4"/>
      <c r="D7487" s="4"/>
      <c r="E7487" s="4"/>
      <c r="F7487" s="4"/>
    </row>
    <row r="7488" spans="1:6" x14ac:dyDescent="0.4">
      <c r="A7488" s="4"/>
      <c r="B7488" s="4"/>
      <c r="D7488" s="4"/>
      <c r="E7488" s="4"/>
      <c r="F7488" s="4"/>
    </row>
    <row r="7489" spans="1:6" x14ac:dyDescent="0.4">
      <c r="A7489" s="4"/>
      <c r="B7489" s="4"/>
      <c r="D7489" s="4"/>
      <c r="E7489" s="4"/>
      <c r="F7489" s="4"/>
    </row>
    <row r="7490" spans="1:6" x14ac:dyDescent="0.4">
      <c r="A7490" s="4"/>
      <c r="B7490" s="4"/>
      <c r="D7490" s="4"/>
      <c r="E7490" s="4"/>
      <c r="F7490" s="4"/>
    </row>
    <row r="7491" spans="1:6" x14ac:dyDescent="0.4">
      <c r="A7491" s="4"/>
      <c r="B7491" s="4"/>
      <c r="D7491" s="4"/>
      <c r="E7491" s="4"/>
      <c r="F7491" s="4"/>
    </row>
    <row r="7492" spans="1:6" x14ac:dyDescent="0.4">
      <c r="A7492" s="4"/>
      <c r="B7492" s="4"/>
      <c r="D7492" s="4"/>
      <c r="E7492" s="4"/>
      <c r="F7492" s="4"/>
    </row>
    <row r="7493" spans="1:6" x14ac:dyDescent="0.4">
      <c r="A7493" s="4"/>
      <c r="B7493" s="4"/>
      <c r="D7493" s="4"/>
      <c r="E7493" s="4"/>
      <c r="F7493" s="4"/>
    </row>
    <row r="7494" spans="1:6" x14ac:dyDescent="0.4">
      <c r="A7494" s="4"/>
      <c r="B7494" s="4"/>
      <c r="D7494" s="4"/>
      <c r="E7494" s="4"/>
      <c r="F7494" s="4"/>
    </row>
    <row r="7495" spans="1:6" x14ac:dyDescent="0.4">
      <c r="A7495" s="4"/>
      <c r="B7495" s="4"/>
      <c r="D7495" s="4"/>
      <c r="E7495" s="4"/>
      <c r="F7495" s="4"/>
    </row>
    <row r="7496" spans="1:6" x14ac:dyDescent="0.4">
      <c r="A7496" s="4"/>
      <c r="B7496" s="4"/>
      <c r="D7496" s="4"/>
      <c r="E7496" s="4"/>
      <c r="F7496" s="4"/>
    </row>
    <row r="7497" spans="1:6" x14ac:dyDescent="0.4">
      <c r="A7497" s="4"/>
      <c r="B7497" s="4"/>
      <c r="D7497" s="4"/>
      <c r="E7497" s="4"/>
      <c r="F7497" s="4"/>
    </row>
    <row r="7498" spans="1:6" x14ac:dyDescent="0.4">
      <c r="A7498" s="4"/>
      <c r="B7498" s="4"/>
      <c r="D7498" s="4"/>
      <c r="E7498" s="4"/>
      <c r="F7498" s="4"/>
    </row>
    <row r="7499" spans="1:6" x14ac:dyDescent="0.4">
      <c r="A7499" s="4"/>
      <c r="B7499" s="4"/>
      <c r="D7499" s="4"/>
      <c r="E7499" s="4"/>
      <c r="F7499" s="4"/>
    </row>
    <row r="7500" spans="1:6" x14ac:dyDescent="0.4">
      <c r="A7500" s="4"/>
      <c r="B7500" s="4"/>
      <c r="D7500" s="4"/>
      <c r="E7500" s="4"/>
      <c r="F7500" s="4"/>
    </row>
    <row r="7501" spans="1:6" x14ac:dyDescent="0.4">
      <c r="A7501" s="4"/>
      <c r="B7501" s="4"/>
      <c r="D7501" s="4"/>
      <c r="E7501" s="4"/>
      <c r="F7501" s="4"/>
    </row>
    <row r="7502" spans="1:6" x14ac:dyDescent="0.4">
      <c r="A7502" s="4"/>
      <c r="B7502" s="4"/>
      <c r="D7502" s="4"/>
      <c r="E7502" s="4"/>
      <c r="F7502" s="4"/>
    </row>
    <row r="7503" spans="1:6" x14ac:dyDescent="0.4">
      <c r="A7503" s="4"/>
      <c r="B7503" s="4"/>
      <c r="D7503" s="4"/>
      <c r="E7503" s="4"/>
      <c r="F7503" s="4"/>
    </row>
    <row r="7504" spans="1:6" x14ac:dyDescent="0.4">
      <c r="A7504" s="4"/>
      <c r="B7504" s="4"/>
      <c r="D7504" s="4"/>
      <c r="E7504" s="4"/>
      <c r="F7504" s="4"/>
    </row>
    <row r="7505" spans="1:6" x14ac:dyDescent="0.4">
      <c r="A7505" s="4"/>
      <c r="B7505" s="4"/>
      <c r="D7505" s="4"/>
      <c r="E7505" s="4"/>
      <c r="F7505" s="4"/>
    </row>
    <row r="7506" spans="1:6" x14ac:dyDescent="0.4">
      <c r="A7506" s="4"/>
      <c r="B7506" s="4"/>
      <c r="D7506" s="4"/>
      <c r="E7506" s="4"/>
      <c r="F7506" s="4"/>
    </row>
    <row r="7507" spans="1:6" x14ac:dyDescent="0.4">
      <c r="A7507" s="4"/>
      <c r="B7507" s="4"/>
      <c r="D7507" s="4"/>
      <c r="E7507" s="4"/>
      <c r="F7507" s="4"/>
    </row>
    <row r="7508" spans="1:6" x14ac:dyDescent="0.4">
      <c r="A7508" s="4"/>
      <c r="B7508" s="4"/>
      <c r="D7508" s="4"/>
      <c r="E7508" s="4"/>
      <c r="F7508" s="4"/>
    </row>
    <row r="7509" spans="1:6" x14ac:dyDescent="0.4">
      <c r="A7509" s="4"/>
      <c r="B7509" s="4"/>
      <c r="D7509" s="4"/>
      <c r="E7509" s="4"/>
      <c r="F7509" s="4"/>
    </row>
    <row r="7510" spans="1:6" x14ac:dyDescent="0.4">
      <c r="A7510" s="4"/>
      <c r="B7510" s="4"/>
      <c r="D7510" s="4"/>
      <c r="E7510" s="4"/>
      <c r="F7510" s="4"/>
    </row>
    <row r="7511" spans="1:6" x14ac:dyDescent="0.4">
      <c r="A7511" s="4"/>
      <c r="B7511" s="4"/>
      <c r="D7511" s="4"/>
      <c r="E7511" s="4"/>
      <c r="F7511" s="4"/>
    </row>
    <row r="7512" spans="1:6" x14ac:dyDescent="0.4">
      <c r="A7512" s="4"/>
      <c r="B7512" s="4"/>
      <c r="D7512" s="4"/>
      <c r="E7512" s="4"/>
      <c r="F7512" s="4"/>
    </row>
    <row r="7513" spans="1:6" x14ac:dyDescent="0.4">
      <c r="A7513" s="4"/>
      <c r="B7513" s="4"/>
      <c r="D7513" s="4"/>
      <c r="E7513" s="4"/>
      <c r="F7513" s="4"/>
    </row>
    <row r="7514" spans="1:6" x14ac:dyDescent="0.4">
      <c r="A7514" s="4"/>
      <c r="B7514" s="4"/>
      <c r="D7514" s="4"/>
      <c r="E7514" s="4"/>
      <c r="F7514" s="4"/>
    </row>
    <row r="7515" spans="1:6" x14ac:dyDescent="0.4">
      <c r="A7515" s="4"/>
      <c r="B7515" s="4"/>
      <c r="D7515" s="4"/>
      <c r="E7515" s="4"/>
      <c r="F7515" s="4"/>
    </row>
    <row r="7516" spans="1:6" x14ac:dyDescent="0.4">
      <c r="A7516" s="4"/>
      <c r="B7516" s="4"/>
      <c r="D7516" s="4"/>
      <c r="E7516" s="4"/>
      <c r="F7516" s="4"/>
    </row>
    <row r="7517" spans="1:6" x14ac:dyDescent="0.4">
      <c r="A7517" s="4"/>
      <c r="B7517" s="4"/>
      <c r="D7517" s="4"/>
      <c r="E7517" s="4"/>
      <c r="F7517" s="4"/>
    </row>
    <row r="7518" spans="1:6" x14ac:dyDescent="0.4">
      <c r="A7518" s="4"/>
      <c r="B7518" s="4"/>
      <c r="D7518" s="4"/>
      <c r="E7518" s="4"/>
      <c r="F7518" s="4"/>
    </row>
    <row r="7519" spans="1:6" x14ac:dyDescent="0.4">
      <c r="A7519" s="4"/>
      <c r="B7519" s="4"/>
      <c r="D7519" s="4"/>
      <c r="E7519" s="4"/>
      <c r="F7519" s="4"/>
    </row>
    <row r="7520" spans="1:6" x14ac:dyDescent="0.4">
      <c r="A7520" s="4"/>
      <c r="B7520" s="4"/>
      <c r="D7520" s="4"/>
      <c r="E7520" s="4"/>
      <c r="F7520" s="4"/>
    </row>
    <row r="7521" spans="1:6" x14ac:dyDescent="0.4">
      <c r="A7521" s="4"/>
      <c r="B7521" s="4"/>
      <c r="D7521" s="4"/>
      <c r="E7521" s="4"/>
      <c r="F7521" s="4"/>
    </row>
    <row r="7522" spans="1:6" x14ac:dyDescent="0.4">
      <c r="A7522" s="4"/>
      <c r="B7522" s="4"/>
      <c r="D7522" s="4"/>
      <c r="E7522" s="4"/>
      <c r="F7522" s="4"/>
    </row>
    <row r="7523" spans="1:6" x14ac:dyDescent="0.4">
      <c r="A7523" s="4"/>
      <c r="B7523" s="4"/>
      <c r="D7523" s="4"/>
      <c r="E7523" s="4"/>
      <c r="F7523" s="4"/>
    </row>
    <row r="7524" spans="1:6" x14ac:dyDescent="0.4">
      <c r="A7524" s="4"/>
      <c r="B7524" s="4"/>
      <c r="D7524" s="4"/>
      <c r="E7524" s="4"/>
      <c r="F7524" s="4"/>
    </row>
    <row r="7525" spans="1:6" x14ac:dyDescent="0.4">
      <c r="A7525" s="4"/>
      <c r="B7525" s="4"/>
      <c r="D7525" s="4"/>
      <c r="E7525" s="4"/>
      <c r="F7525" s="4"/>
    </row>
    <row r="7526" spans="1:6" x14ac:dyDescent="0.4">
      <c r="A7526" s="4"/>
      <c r="B7526" s="4"/>
      <c r="D7526" s="4"/>
      <c r="E7526" s="4"/>
      <c r="F7526" s="4"/>
    </row>
    <row r="7527" spans="1:6" x14ac:dyDescent="0.4">
      <c r="A7527" s="4"/>
      <c r="B7527" s="4"/>
      <c r="D7527" s="4"/>
      <c r="E7527" s="4"/>
      <c r="F7527" s="4"/>
    </row>
    <row r="7528" spans="1:6" x14ac:dyDescent="0.4">
      <c r="A7528" s="4"/>
      <c r="B7528" s="4"/>
      <c r="D7528" s="4"/>
      <c r="E7528" s="4"/>
      <c r="F7528" s="4"/>
    </row>
    <row r="7529" spans="1:6" x14ac:dyDescent="0.4">
      <c r="A7529" s="4"/>
      <c r="B7529" s="4"/>
      <c r="D7529" s="4"/>
      <c r="E7529" s="4"/>
      <c r="F7529" s="4"/>
    </row>
    <row r="7530" spans="1:6" x14ac:dyDescent="0.4">
      <c r="A7530" s="4"/>
      <c r="B7530" s="4"/>
      <c r="D7530" s="4"/>
      <c r="E7530" s="4"/>
      <c r="F7530" s="4"/>
    </row>
    <row r="7531" spans="1:6" x14ac:dyDescent="0.4">
      <c r="A7531" s="4"/>
      <c r="B7531" s="4"/>
      <c r="D7531" s="4"/>
      <c r="E7531" s="4"/>
      <c r="F7531" s="4"/>
    </row>
    <row r="7532" spans="1:6" x14ac:dyDescent="0.4">
      <c r="A7532" s="4"/>
      <c r="B7532" s="4"/>
      <c r="D7532" s="4"/>
      <c r="E7532" s="4"/>
      <c r="F7532" s="4"/>
    </row>
    <row r="7533" spans="1:6" x14ac:dyDescent="0.4">
      <c r="A7533" s="4"/>
      <c r="B7533" s="4"/>
      <c r="D7533" s="4"/>
      <c r="E7533" s="4"/>
      <c r="F7533" s="4"/>
    </row>
    <row r="7534" spans="1:6" x14ac:dyDescent="0.4">
      <c r="A7534" s="4"/>
      <c r="B7534" s="4"/>
      <c r="D7534" s="4"/>
      <c r="E7534" s="4"/>
      <c r="F7534" s="4"/>
    </row>
    <row r="7535" spans="1:6" x14ac:dyDescent="0.4">
      <c r="A7535" s="4"/>
      <c r="B7535" s="4"/>
      <c r="D7535" s="4"/>
      <c r="E7535" s="4"/>
      <c r="F7535" s="4"/>
    </row>
    <row r="7536" spans="1:6" x14ac:dyDescent="0.4">
      <c r="A7536" s="4"/>
      <c r="B7536" s="4"/>
      <c r="D7536" s="4"/>
      <c r="E7536" s="4"/>
      <c r="F7536" s="4"/>
    </row>
    <row r="7537" spans="1:6" x14ac:dyDescent="0.4">
      <c r="A7537" s="4"/>
      <c r="B7537" s="4"/>
      <c r="D7537" s="4"/>
      <c r="E7537" s="4"/>
      <c r="F7537" s="4"/>
    </row>
    <row r="7538" spans="1:6" x14ac:dyDescent="0.4">
      <c r="A7538" s="4"/>
      <c r="B7538" s="4"/>
      <c r="D7538" s="4"/>
      <c r="E7538" s="4"/>
      <c r="F7538" s="4"/>
    </row>
    <row r="7539" spans="1:6" x14ac:dyDescent="0.4">
      <c r="A7539" s="4"/>
      <c r="B7539" s="4"/>
      <c r="D7539" s="4"/>
      <c r="E7539" s="4"/>
      <c r="F7539" s="4"/>
    </row>
    <row r="7540" spans="1:6" x14ac:dyDescent="0.4">
      <c r="A7540" s="4"/>
      <c r="B7540" s="4"/>
      <c r="D7540" s="4"/>
      <c r="E7540" s="4"/>
      <c r="F7540" s="4"/>
    </row>
    <row r="7541" spans="1:6" x14ac:dyDescent="0.4">
      <c r="A7541" s="4"/>
      <c r="B7541" s="4"/>
      <c r="D7541" s="4"/>
      <c r="E7541" s="4"/>
      <c r="F7541" s="4"/>
    </row>
    <row r="7542" spans="1:6" x14ac:dyDescent="0.4">
      <c r="A7542" s="4"/>
      <c r="B7542" s="4"/>
      <c r="D7542" s="4"/>
      <c r="E7542" s="4"/>
      <c r="F7542" s="4"/>
    </row>
    <row r="7543" spans="1:6" x14ac:dyDescent="0.4">
      <c r="A7543" s="4"/>
      <c r="B7543" s="4"/>
      <c r="D7543" s="4"/>
      <c r="E7543" s="4"/>
      <c r="F7543" s="4"/>
    </row>
    <row r="7544" spans="1:6" x14ac:dyDescent="0.4">
      <c r="A7544" s="4"/>
      <c r="B7544" s="4"/>
      <c r="D7544" s="4"/>
      <c r="E7544" s="4"/>
      <c r="F7544" s="4"/>
    </row>
    <row r="7545" spans="1:6" x14ac:dyDescent="0.4">
      <c r="A7545" s="4"/>
      <c r="B7545" s="4"/>
      <c r="D7545" s="4"/>
      <c r="E7545" s="4"/>
      <c r="F7545" s="4"/>
    </row>
    <row r="7546" spans="1:6" x14ac:dyDescent="0.4">
      <c r="A7546" s="4"/>
      <c r="B7546" s="4"/>
      <c r="D7546" s="4"/>
      <c r="E7546" s="4"/>
      <c r="F7546" s="4"/>
    </row>
    <row r="7547" spans="1:6" x14ac:dyDescent="0.4">
      <c r="A7547" s="4"/>
      <c r="B7547" s="4"/>
      <c r="D7547" s="4"/>
      <c r="E7547" s="4"/>
      <c r="F7547" s="4"/>
    </row>
    <row r="7548" spans="1:6" x14ac:dyDescent="0.4">
      <c r="A7548" s="4"/>
      <c r="B7548" s="4"/>
      <c r="D7548" s="4"/>
      <c r="E7548" s="4"/>
      <c r="F7548" s="4"/>
    </row>
    <row r="7549" spans="1:6" x14ac:dyDescent="0.4">
      <c r="A7549" s="4"/>
      <c r="B7549" s="4"/>
      <c r="D7549" s="4"/>
      <c r="E7549" s="4"/>
      <c r="F7549" s="4"/>
    </row>
    <row r="7550" spans="1:6" x14ac:dyDescent="0.4">
      <c r="A7550" s="4"/>
      <c r="B7550" s="4"/>
      <c r="D7550" s="4"/>
      <c r="E7550" s="4"/>
      <c r="F7550" s="4"/>
    </row>
    <row r="7551" spans="1:6" x14ac:dyDescent="0.4">
      <c r="A7551" s="4"/>
      <c r="B7551" s="4"/>
      <c r="D7551" s="4"/>
      <c r="E7551" s="4"/>
      <c r="F7551" s="4"/>
    </row>
    <row r="7552" spans="1:6" x14ac:dyDescent="0.4">
      <c r="A7552" s="4"/>
      <c r="B7552" s="4"/>
      <c r="D7552" s="4"/>
      <c r="E7552" s="4"/>
      <c r="F7552" s="4"/>
    </row>
    <row r="7553" spans="1:6" x14ac:dyDescent="0.4">
      <c r="A7553" s="4"/>
      <c r="B7553" s="4"/>
      <c r="D7553" s="4"/>
      <c r="E7553" s="4"/>
      <c r="F7553" s="4"/>
    </row>
    <row r="7554" spans="1:6" x14ac:dyDescent="0.4">
      <c r="A7554" s="4"/>
      <c r="B7554" s="4"/>
      <c r="D7554" s="4"/>
      <c r="E7554" s="4"/>
      <c r="F7554" s="4"/>
    </row>
    <row r="7555" spans="1:6" x14ac:dyDescent="0.4">
      <c r="A7555" s="4"/>
      <c r="B7555" s="4"/>
      <c r="D7555" s="4"/>
      <c r="E7555" s="4"/>
      <c r="F7555" s="4"/>
    </row>
    <row r="7556" spans="1:6" x14ac:dyDescent="0.4">
      <c r="A7556" s="4"/>
      <c r="B7556" s="4"/>
      <c r="D7556" s="4"/>
      <c r="E7556" s="4"/>
      <c r="F7556" s="4"/>
    </row>
    <row r="7557" spans="1:6" x14ac:dyDescent="0.4">
      <c r="A7557" s="4"/>
      <c r="B7557" s="4"/>
      <c r="D7557" s="4"/>
      <c r="E7557" s="4"/>
      <c r="F7557" s="4"/>
    </row>
    <row r="7558" spans="1:6" x14ac:dyDescent="0.4">
      <c r="A7558" s="4"/>
      <c r="B7558" s="4"/>
      <c r="D7558" s="4"/>
      <c r="E7558" s="4"/>
      <c r="F7558" s="4"/>
    </row>
    <row r="7559" spans="1:6" x14ac:dyDescent="0.4">
      <c r="A7559" s="4"/>
      <c r="B7559" s="4"/>
      <c r="D7559" s="4"/>
      <c r="E7559" s="4"/>
      <c r="F7559" s="4"/>
    </row>
    <row r="7560" spans="1:6" x14ac:dyDescent="0.4">
      <c r="A7560" s="4"/>
      <c r="B7560" s="4"/>
      <c r="D7560" s="4"/>
      <c r="E7560" s="4"/>
      <c r="F7560" s="4"/>
    </row>
    <row r="7561" spans="1:6" x14ac:dyDescent="0.4">
      <c r="A7561" s="4"/>
      <c r="B7561" s="4"/>
      <c r="D7561" s="4"/>
      <c r="E7561" s="4"/>
      <c r="F7561" s="4"/>
    </row>
    <row r="7562" spans="1:6" x14ac:dyDescent="0.4">
      <c r="A7562" s="4"/>
      <c r="B7562" s="4"/>
      <c r="D7562" s="4"/>
      <c r="E7562" s="4"/>
      <c r="F7562" s="4"/>
    </row>
    <row r="7563" spans="1:6" x14ac:dyDescent="0.4">
      <c r="A7563" s="4"/>
      <c r="B7563" s="4"/>
      <c r="D7563" s="4"/>
      <c r="E7563" s="4"/>
      <c r="F7563" s="4"/>
    </row>
    <row r="7564" spans="1:6" x14ac:dyDescent="0.4">
      <c r="A7564" s="4"/>
      <c r="B7564" s="4"/>
      <c r="D7564" s="4"/>
      <c r="E7564" s="4"/>
      <c r="F7564" s="4"/>
    </row>
    <row r="7565" spans="1:6" x14ac:dyDescent="0.4">
      <c r="A7565" s="4"/>
      <c r="B7565" s="4"/>
      <c r="D7565" s="4"/>
      <c r="E7565" s="4"/>
      <c r="F7565" s="4"/>
    </row>
    <row r="7566" spans="1:6" x14ac:dyDescent="0.4">
      <c r="A7566" s="4"/>
      <c r="B7566" s="4"/>
      <c r="D7566" s="4"/>
      <c r="E7566" s="4"/>
      <c r="F7566" s="4"/>
    </row>
    <row r="7567" spans="1:6" x14ac:dyDescent="0.4">
      <c r="A7567" s="4"/>
      <c r="B7567" s="4"/>
      <c r="D7567" s="4"/>
      <c r="E7567" s="4"/>
      <c r="F7567" s="4"/>
    </row>
    <row r="7568" spans="1:6" x14ac:dyDescent="0.4">
      <c r="A7568" s="4"/>
      <c r="B7568" s="4"/>
      <c r="D7568" s="4"/>
      <c r="E7568" s="4"/>
      <c r="F7568" s="4"/>
    </row>
    <row r="7569" spans="1:6" x14ac:dyDescent="0.4">
      <c r="A7569" s="4"/>
      <c r="B7569" s="4"/>
      <c r="D7569" s="4"/>
      <c r="E7569" s="4"/>
      <c r="F7569" s="4"/>
    </row>
    <row r="7570" spans="1:6" x14ac:dyDescent="0.4">
      <c r="A7570" s="4"/>
      <c r="B7570" s="4"/>
      <c r="D7570" s="4"/>
      <c r="E7570" s="4"/>
      <c r="F7570" s="4"/>
    </row>
    <row r="7571" spans="1:6" x14ac:dyDescent="0.4">
      <c r="A7571" s="4"/>
      <c r="B7571" s="4"/>
      <c r="D7571" s="4"/>
      <c r="E7571" s="4"/>
      <c r="F7571" s="4"/>
    </row>
    <row r="7572" spans="1:6" x14ac:dyDescent="0.4">
      <c r="A7572" s="4"/>
      <c r="B7572" s="4"/>
      <c r="D7572" s="4"/>
      <c r="E7572" s="4"/>
      <c r="F7572" s="4"/>
    </row>
    <row r="7573" spans="1:6" x14ac:dyDescent="0.4">
      <c r="A7573" s="4"/>
      <c r="B7573" s="4"/>
      <c r="D7573" s="4"/>
      <c r="E7573" s="4"/>
      <c r="F7573" s="4"/>
    </row>
    <row r="7574" spans="1:6" x14ac:dyDescent="0.4">
      <c r="A7574" s="4"/>
      <c r="B7574" s="4"/>
      <c r="D7574" s="4"/>
      <c r="E7574" s="4"/>
      <c r="F7574" s="4"/>
    </row>
    <row r="7575" spans="1:6" x14ac:dyDescent="0.4">
      <c r="A7575" s="4"/>
      <c r="B7575" s="4"/>
      <c r="D7575" s="4"/>
      <c r="E7575" s="4"/>
      <c r="F7575" s="4"/>
    </row>
    <row r="7576" spans="1:6" x14ac:dyDescent="0.4">
      <c r="A7576" s="4"/>
      <c r="B7576" s="4"/>
      <c r="D7576" s="4"/>
      <c r="E7576" s="4"/>
      <c r="F7576" s="4"/>
    </row>
    <row r="7577" spans="1:6" x14ac:dyDescent="0.4">
      <c r="A7577" s="4"/>
      <c r="B7577" s="4"/>
      <c r="D7577" s="4"/>
      <c r="E7577" s="4"/>
      <c r="F7577" s="4"/>
    </row>
    <row r="7578" spans="1:6" x14ac:dyDescent="0.4">
      <c r="A7578" s="4"/>
      <c r="B7578" s="4"/>
      <c r="D7578" s="4"/>
      <c r="E7578" s="4"/>
      <c r="F7578" s="4"/>
    </row>
    <row r="7579" spans="1:6" x14ac:dyDescent="0.4">
      <c r="A7579" s="4"/>
      <c r="B7579" s="4"/>
      <c r="D7579" s="4"/>
      <c r="E7579" s="4"/>
      <c r="F7579" s="4"/>
    </row>
    <row r="7580" spans="1:6" x14ac:dyDescent="0.4">
      <c r="A7580" s="4"/>
      <c r="B7580" s="4"/>
      <c r="D7580" s="4"/>
      <c r="E7580" s="4"/>
      <c r="F7580" s="4"/>
    </row>
    <row r="7581" spans="1:6" x14ac:dyDescent="0.4">
      <c r="A7581" s="4"/>
      <c r="B7581" s="4"/>
      <c r="D7581" s="4"/>
      <c r="E7581" s="4"/>
      <c r="F7581" s="4"/>
    </row>
    <row r="7582" spans="1:6" x14ac:dyDescent="0.4">
      <c r="A7582" s="4"/>
      <c r="B7582" s="4"/>
      <c r="D7582" s="4"/>
      <c r="E7582" s="4"/>
      <c r="F7582" s="4"/>
    </row>
    <row r="7583" spans="1:6" x14ac:dyDescent="0.4">
      <c r="A7583" s="4"/>
      <c r="B7583" s="4"/>
      <c r="D7583" s="4"/>
      <c r="E7583" s="4"/>
      <c r="F7583" s="4"/>
    </row>
    <row r="7584" spans="1:6" x14ac:dyDescent="0.4">
      <c r="A7584" s="4"/>
      <c r="B7584" s="4"/>
      <c r="D7584" s="4"/>
      <c r="E7584" s="4"/>
      <c r="F7584" s="4"/>
    </row>
    <row r="7585" spans="1:6" x14ac:dyDescent="0.4">
      <c r="A7585" s="4"/>
      <c r="B7585" s="4"/>
      <c r="D7585" s="4"/>
      <c r="E7585" s="4"/>
      <c r="F7585" s="4"/>
    </row>
    <row r="7586" spans="1:6" x14ac:dyDescent="0.4">
      <c r="A7586" s="4"/>
      <c r="B7586" s="4"/>
      <c r="D7586" s="4"/>
      <c r="E7586" s="4"/>
      <c r="F7586" s="4"/>
    </row>
    <row r="7587" spans="1:6" x14ac:dyDescent="0.4">
      <c r="A7587" s="4"/>
      <c r="B7587" s="4"/>
      <c r="D7587" s="4"/>
      <c r="E7587" s="4"/>
      <c r="F7587" s="4"/>
    </row>
    <row r="7588" spans="1:6" x14ac:dyDescent="0.4">
      <c r="A7588" s="4"/>
      <c r="B7588" s="4"/>
      <c r="D7588" s="4"/>
      <c r="E7588" s="4"/>
      <c r="F7588" s="4"/>
    </row>
    <row r="7589" spans="1:6" x14ac:dyDescent="0.4">
      <c r="A7589" s="4"/>
      <c r="B7589" s="4"/>
      <c r="D7589" s="4"/>
      <c r="E7589" s="4"/>
      <c r="F7589" s="4"/>
    </row>
    <row r="7590" spans="1:6" x14ac:dyDescent="0.4">
      <c r="A7590" s="4"/>
      <c r="B7590" s="4"/>
      <c r="D7590" s="4"/>
      <c r="E7590" s="4"/>
      <c r="F7590" s="4"/>
    </row>
    <row r="7591" spans="1:6" x14ac:dyDescent="0.4">
      <c r="A7591" s="4"/>
      <c r="B7591" s="4"/>
      <c r="D7591" s="4"/>
      <c r="E7591" s="4"/>
      <c r="F7591" s="4"/>
    </row>
    <row r="7592" spans="1:6" x14ac:dyDescent="0.4">
      <c r="A7592" s="4"/>
      <c r="B7592" s="4"/>
      <c r="D7592" s="4"/>
      <c r="E7592" s="4"/>
      <c r="F7592" s="4"/>
    </row>
    <row r="7593" spans="1:6" x14ac:dyDescent="0.4">
      <c r="A7593" s="4"/>
      <c r="B7593" s="4"/>
      <c r="D7593" s="4"/>
      <c r="E7593" s="4"/>
      <c r="F7593" s="4"/>
    </row>
    <row r="7594" spans="1:6" x14ac:dyDescent="0.4">
      <c r="A7594" s="4"/>
      <c r="B7594" s="4"/>
      <c r="D7594" s="4"/>
      <c r="E7594" s="4"/>
      <c r="F7594" s="4"/>
    </row>
    <row r="7595" spans="1:6" x14ac:dyDescent="0.4">
      <c r="A7595" s="4"/>
      <c r="B7595" s="4"/>
      <c r="D7595" s="4"/>
      <c r="E7595" s="4"/>
      <c r="F7595" s="4"/>
    </row>
    <row r="7596" spans="1:6" x14ac:dyDescent="0.4">
      <c r="A7596" s="4"/>
      <c r="B7596" s="4"/>
      <c r="D7596" s="4"/>
      <c r="E7596" s="4"/>
      <c r="F7596" s="4"/>
    </row>
    <row r="7597" spans="1:6" x14ac:dyDescent="0.4">
      <c r="A7597" s="4"/>
      <c r="B7597" s="4"/>
      <c r="D7597" s="4"/>
      <c r="E7597" s="4"/>
      <c r="F7597" s="4"/>
    </row>
    <row r="7598" spans="1:6" x14ac:dyDescent="0.4">
      <c r="A7598" s="4"/>
      <c r="B7598" s="4"/>
      <c r="D7598" s="4"/>
      <c r="E7598" s="4"/>
      <c r="F7598" s="4"/>
    </row>
    <row r="7599" spans="1:6" x14ac:dyDescent="0.4">
      <c r="A7599" s="4"/>
      <c r="B7599" s="4"/>
      <c r="D7599" s="4"/>
      <c r="E7599" s="4"/>
      <c r="F7599" s="4"/>
    </row>
    <row r="7600" spans="1:6" x14ac:dyDescent="0.4">
      <c r="A7600" s="4"/>
      <c r="B7600" s="4"/>
      <c r="D7600" s="4"/>
      <c r="E7600" s="4"/>
      <c r="F7600" s="4"/>
    </row>
    <row r="7601" spans="1:6" x14ac:dyDescent="0.4">
      <c r="A7601" s="4"/>
      <c r="B7601" s="4"/>
      <c r="D7601" s="4"/>
      <c r="E7601" s="4"/>
      <c r="F7601" s="4"/>
    </row>
    <row r="7602" spans="1:6" x14ac:dyDescent="0.4">
      <c r="A7602" s="4"/>
      <c r="B7602" s="4"/>
      <c r="D7602" s="4"/>
      <c r="E7602" s="4"/>
      <c r="F7602" s="4"/>
    </row>
    <row r="7603" spans="1:6" x14ac:dyDescent="0.4">
      <c r="A7603" s="4"/>
      <c r="B7603" s="4"/>
      <c r="D7603" s="4"/>
      <c r="E7603" s="4"/>
      <c r="F7603" s="4"/>
    </row>
    <row r="7604" spans="1:6" x14ac:dyDescent="0.4">
      <c r="A7604" s="4"/>
      <c r="B7604" s="4"/>
      <c r="D7604" s="4"/>
      <c r="E7604" s="4"/>
      <c r="F7604" s="4"/>
    </row>
    <row r="7605" spans="1:6" x14ac:dyDescent="0.4">
      <c r="A7605" s="4"/>
      <c r="B7605" s="4"/>
      <c r="D7605" s="4"/>
      <c r="E7605" s="4"/>
      <c r="F7605" s="4"/>
    </row>
    <row r="7606" spans="1:6" x14ac:dyDescent="0.4">
      <c r="A7606" s="4"/>
      <c r="B7606" s="4"/>
      <c r="D7606" s="4"/>
      <c r="E7606" s="4"/>
      <c r="F7606" s="4"/>
    </row>
    <row r="7607" spans="1:6" x14ac:dyDescent="0.4">
      <c r="A7607" s="4"/>
      <c r="B7607" s="4"/>
      <c r="D7607" s="4"/>
      <c r="E7607" s="4"/>
      <c r="F7607" s="4"/>
    </row>
    <row r="7608" spans="1:6" x14ac:dyDescent="0.4">
      <c r="A7608" s="4"/>
      <c r="B7608" s="4"/>
      <c r="D7608" s="4"/>
      <c r="E7608" s="4"/>
      <c r="F7608" s="4"/>
    </row>
    <row r="7609" spans="1:6" x14ac:dyDescent="0.4">
      <c r="A7609" s="4"/>
      <c r="B7609" s="4"/>
      <c r="D7609" s="4"/>
      <c r="E7609" s="4"/>
      <c r="F7609" s="4"/>
    </row>
    <row r="7610" spans="1:6" x14ac:dyDescent="0.4">
      <c r="A7610" s="4"/>
      <c r="B7610" s="4"/>
      <c r="D7610" s="4"/>
      <c r="E7610" s="4"/>
      <c r="F7610" s="4"/>
    </row>
    <row r="7611" spans="1:6" x14ac:dyDescent="0.4">
      <c r="A7611" s="4"/>
      <c r="B7611" s="4"/>
      <c r="D7611" s="4"/>
      <c r="E7611" s="4"/>
      <c r="F7611" s="4"/>
    </row>
    <row r="7612" spans="1:6" x14ac:dyDescent="0.4">
      <c r="A7612" s="4"/>
      <c r="B7612" s="4"/>
      <c r="D7612" s="4"/>
      <c r="E7612" s="4"/>
      <c r="F7612" s="4"/>
    </row>
    <row r="7613" spans="1:6" x14ac:dyDescent="0.4">
      <c r="A7613" s="4"/>
      <c r="B7613" s="4"/>
      <c r="D7613" s="4"/>
      <c r="E7613" s="4"/>
      <c r="F7613" s="4"/>
    </row>
    <row r="7614" spans="1:6" x14ac:dyDescent="0.4">
      <c r="A7614" s="4"/>
      <c r="B7614" s="4"/>
      <c r="D7614" s="4"/>
      <c r="E7614" s="4"/>
      <c r="F7614" s="4"/>
    </row>
    <row r="7615" spans="1:6" x14ac:dyDescent="0.4">
      <c r="A7615" s="4"/>
      <c r="B7615" s="4"/>
      <c r="D7615" s="4"/>
      <c r="E7615" s="4"/>
      <c r="F7615" s="4"/>
    </row>
    <row r="7616" spans="1:6" x14ac:dyDescent="0.4">
      <c r="A7616" s="4"/>
      <c r="B7616" s="4"/>
      <c r="D7616" s="4"/>
      <c r="E7616" s="4"/>
      <c r="F7616" s="4"/>
    </row>
    <row r="7617" spans="1:6" x14ac:dyDescent="0.4">
      <c r="A7617" s="4"/>
      <c r="B7617" s="4"/>
      <c r="D7617" s="4"/>
      <c r="E7617" s="4"/>
      <c r="F7617" s="4"/>
    </row>
    <row r="7618" spans="1:6" x14ac:dyDescent="0.4">
      <c r="A7618" s="4"/>
      <c r="B7618" s="4"/>
      <c r="D7618" s="4"/>
      <c r="E7618" s="4"/>
      <c r="F7618" s="4"/>
    </row>
    <row r="7619" spans="1:6" x14ac:dyDescent="0.4">
      <c r="A7619" s="4"/>
      <c r="B7619" s="4"/>
      <c r="D7619" s="4"/>
      <c r="E7619" s="4"/>
      <c r="F7619" s="4"/>
    </row>
    <row r="7620" spans="1:6" x14ac:dyDescent="0.4">
      <c r="A7620" s="4"/>
      <c r="B7620" s="4"/>
      <c r="D7620" s="4"/>
      <c r="E7620" s="4"/>
      <c r="F7620" s="4"/>
    </row>
    <row r="7621" spans="1:6" x14ac:dyDescent="0.4">
      <c r="A7621" s="4"/>
      <c r="B7621" s="4"/>
      <c r="D7621" s="4"/>
      <c r="E7621" s="4"/>
      <c r="F7621" s="4"/>
    </row>
    <row r="7622" spans="1:6" x14ac:dyDescent="0.4">
      <c r="A7622" s="4"/>
      <c r="B7622" s="4"/>
      <c r="D7622" s="4"/>
      <c r="E7622" s="4"/>
      <c r="F7622" s="4"/>
    </row>
    <row r="7623" spans="1:6" x14ac:dyDescent="0.4">
      <c r="A7623" s="4"/>
      <c r="B7623" s="4"/>
      <c r="D7623" s="4"/>
      <c r="E7623" s="4"/>
      <c r="F7623" s="4"/>
    </row>
    <row r="7624" spans="1:6" x14ac:dyDescent="0.4">
      <c r="A7624" s="4"/>
      <c r="B7624" s="4"/>
      <c r="D7624" s="4"/>
      <c r="E7624" s="4"/>
      <c r="F7624" s="4"/>
    </row>
    <row r="7625" spans="1:6" x14ac:dyDescent="0.4">
      <c r="A7625" s="4"/>
      <c r="B7625" s="4"/>
      <c r="D7625" s="4"/>
      <c r="E7625" s="4"/>
      <c r="F7625" s="4"/>
    </row>
    <row r="7626" spans="1:6" x14ac:dyDescent="0.4">
      <c r="A7626" s="4"/>
      <c r="B7626" s="4"/>
      <c r="D7626" s="4"/>
      <c r="E7626" s="4"/>
      <c r="F7626" s="4"/>
    </row>
    <row r="7627" spans="1:6" x14ac:dyDescent="0.4">
      <c r="A7627" s="4"/>
      <c r="B7627" s="4"/>
      <c r="D7627" s="4"/>
      <c r="E7627" s="4"/>
      <c r="F7627" s="4"/>
    </row>
    <row r="7628" spans="1:6" x14ac:dyDescent="0.4">
      <c r="A7628" s="4"/>
      <c r="B7628" s="4"/>
      <c r="D7628" s="4"/>
      <c r="E7628" s="4"/>
      <c r="F7628" s="4"/>
    </row>
    <row r="7629" spans="1:6" x14ac:dyDescent="0.4">
      <c r="A7629" s="4"/>
      <c r="B7629" s="4"/>
      <c r="D7629" s="4"/>
      <c r="E7629" s="4"/>
      <c r="F7629" s="4"/>
    </row>
    <row r="7630" spans="1:6" x14ac:dyDescent="0.4">
      <c r="A7630" s="4"/>
      <c r="B7630" s="4"/>
      <c r="D7630" s="4"/>
      <c r="E7630" s="4"/>
      <c r="F7630" s="4"/>
    </row>
    <row r="7631" spans="1:6" x14ac:dyDescent="0.4">
      <c r="A7631" s="4"/>
      <c r="B7631" s="4"/>
      <c r="D7631" s="4"/>
      <c r="E7631" s="4"/>
      <c r="F7631" s="4"/>
    </row>
    <row r="7632" spans="1:6" x14ac:dyDescent="0.4">
      <c r="A7632" s="4"/>
      <c r="B7632" s="4"/>
      <c r="D7632" s="4"/>
      <c r="E7632" s="4"/>
      <c r="F7632" s="4"/>
    </row>
    <row r="7633" spans="1:6" x14ac:dyDescent="0.4">
      <c r="A7633" s="4"/>
      <c r="B7633" s="4"/>
      <c r="D7633" s="4"/>
      <c r="E7633" s="4"/>
      <c r="F7633" s="4"/>
    </row>
    <row r="7634" spans="1:6" x14ac:dyDescent="0.4">
      <c r="A7634" s="4"/>
      <c r="B7634" s="4"/>
      <c r="D7634" s="4"/>
      <c r="E7634" s="4"/>
      <c r="F7634" s="4"/>
    </row>
    <row r="7635" spans="1:6" x14ac:dyDescent="0.4">
      <c r="A7635" s="4"/>
      <c r="B7635" s="4"/>
      <c r="D7635" s="4"/>
      <c r="E7635" s="4"/>
      <c r="F7635" s="4"/>
    </row>
    <row r="7636" spans="1:6" x14ac:dyDescent="0.4">
      <c r="A7636" s="4"/>
      <c r="B7636" s="4"/>
      <c r="D7636" s="4"/>
      <c r="E7636" s="4"/>
      <c r="F7636" s="4"/>
    </row>
    <row r="7637" spans="1:6" x14ac:dyDescent="0.4">
      <c r="A7637" s="4"/>
      <c r="B7637" s="4"/>
      <c r="D7637" s="4"/>
      <c r="E7637" s="4"/>
      <c r="F7637" s="4"/>
    </row>
    <row r="7638" spans="1:6" x14ac:dyDescent="0.4">
      <c r="A7638" s="4"/>
      <c r="B7638" s="4"/>
      <c r="D7638" s="4"/>
      <c r="E7638" s="4"/>
      <c r="F7638" s="4"/>
    </row>
    <row r="7639" spans="1:6" x14ac:dyDescent="0.4">
      <c r="A7639" s="4"/>
      <c r="B7639" s="4"/>
      <c r="D7639" s="4"/>
      <c r="E7639" s="4"/>
      <c r="F7639" s="4"/>
    </row>
    <row r="7640" spans="1:6" x14ac:dyDescent="0.4">
      <c r="A7640" s="4"/>
      <c r="B7640" s="4"/>
      <c r="D7640" s="4"/>
      <c r="E7640" s="4"/>
      <c r="F7640" s="4"/>
    </row>
    <row r="7641" spans="1:6" x14ac:dyDescent="0.4">
      <c r="A7641" s="4"/>
      <c r="B7641" s="4"/>
      <c r="D7641" s="4"/>
      <c r="E7641" s="4"/>
      <c r="F7641" s="4"/>
    </row>
    <row r="7642" spans="1:6" x14ac:dyDescent="0.4">
      <c r="A7642" s="4"/>
      <c r="B7642" s="4"/>
      <c r="D7642" s="4"/>
      <c r="E7642" s="4"/>
      <c r="F7642" s="4"/>
    </row>
    <row r="7643" spans="1:6" x14ac:dyDescent="0.4">
      <c r="A7643" s="4"/>
      <c r="B7643" s="4"/>
      <c r="D7643" s="4"/>
      <c r="E7643" s="4"/>
      <c r="F7643" s="4"/>
    </row>
    <row r="7644" spans="1:6" x14ac:dyDescent="0.4">
      <c r="A7644" s="4"/>
      <c r="B7644" s="4"/>
      <c r="D7644" s="4"/>
      <c r="E7644" s="4"/>
      <c r="F7644" s="4"/>
    </row>
    <row r="7645" spans="1:6" x14ac:dyDescent="0.4">
      <c r="A7645" s="4"/>
      <c r="B7645" s="4"/>
      <c r="D7645" s="4"/>
      <c r="E7645" s="4"/>
      <c r="F7645" s="4"/>
    </row>
    <row r="7646" spans="1:6" x14ac:dyDescent="0.4">
      <c r="A7646" s="4"/>
      <c r="B7646" s="4"/>
      <c r="D7646" s="4"/>
      <c r="E7646" s="4"/>
      <c r="F7646" s="4"/>
    </row>
    <row r="7647" spans="1:6" x14ac:dyDescent="0.4">
      <c r="A7647" s="4"/>
      <c r="B7647" s="4"/>
      <c r="D7647" s="4"/>
      <c r="E7647" s="4"/>
      <c r="F7647" s="4"/>
    </row>
    <row r="7648" spans="1:6" x14ac:dyDescent="0.4">
      <c r="A7648" s="4"/>
      <c r="B7648" s="4"/>
      <c r="D7648" s="4"/>
      <c r="E7648" s="4"/>
      <c r="F7648" s="4"/>
    </row>
    <row r="7649" spans="1:6" x14ac:dyDescent="0.4">
      <c r="A7649" s="4"/>
      <c r="B7649" s="4"/>
      <c r="D7649" s="4"/>
      <c r="E7649" s="4"/>
      <c r="F7649" s="4"/>
    </row>
    <row r="7650" spans="1:6" x14ac:dyDescent="0.4">
      <c r="A7650" s="4"/>
      <c r="B7650" s="4"/>
      <c r="D7650" s="4"/>
      <c r="E7650" s="4"/>
      <c r="F7650" s="4"/>
    </row>
    <row r="7651" spans="1:6" x14ac:dyDescent="0.4">
      <c r="A7651" s="4"/>
      <c r="B7651" s="4"/>
      <c r="D7651" s="4"/>
      <c r="E7651" s="4"/>
      <c r="F7651" s="4"/>
    </row>
    <row r="7652" spans="1:6" x14ac:dyDescent="0.4">
      <c r="A7652" s="4"/>
      <c r="B7652" s="4"/>
      <c r="D7652" s="4"/>
      <c r="E7652" s="4"/>
      <c r="F7652" s="4"/>
    </row>
    <row r="7653" spans="1:6" x14ac:dyDescent="0.4">
      <c r="A7653" s="4"/>
      <c r="B7653" s="4"/>
      <c r="D7653" s="4"/>
      <c r="E7653" s="4"/>
      <c r="F7653" s="4"/>
    </row>
    <row r="7654" spans="1:6" x14ac:dyDescent="0.4">
      <c r="A7654" s="4"/>
      <c r="B7654" s="4"/>
      <c r="D7654" s="4"/>
      <c r="E7654" s="4"/>
      <c r="F7654" s="4"/>
    </row>
    <row r="7655" spans="1:6" x14ac:dyDescent="0.4">
      <c r="A7655" s="4"/>
      <c r="B7655" s="4"/>
      <c r="D7655" s="4"/>
      <c r="E7655" s="4"/>
      <c r="F7655" s="4"/>
    </row>
    <row r="7656" spans="1:6" x14ac:dyDescent="0.4">
      <c r="A7656" s="4"/>
      <c r="B7656" s="4"/>
      <c r="D7656" s="4"/>
      <c r="E7656" s="4"/>
      <c r="F7656" s="4"/>
    </row>
    <row r="7657" spans="1:6" x14ac:dyDescent="0.4">
      <c r="A7657" s="4"/>
      <c r="B7657" s="4"/>
      <c r="D7657" s="4"/>
      <c r="E7657" s="4"/>
      <c r="F7657" s="4"/>
    </row>
    <row r="7658" spans="1:6" x14ac:dyDescent="0.4">
      <c r="A7658" s="4"/>
      <c r="B7658" s="4"/>
      <c r="D7658" s="4"/>
      <c r="E7658" s="4"/>
      <c r="F7658" s="4"/>
    </row>
    <row r="7659" spans="1:6" x14ac:dyDescent="0.4">
      <c r="A7659" s="4"/>
      <c r="B7659" s="4"/>
      <c r="D7659" s="4"/>
      <c r="E7659" s="4"/>
      <c r="F7659" s="4"/>
    </row>
    <row r="7660" spans="1:6" x14ac:dyDescent="0.4">
      <c r="A7660" s="4"/>
      <c r="B7660" s="4"/>
      <c r="D7660" s="4"/>
      <c r="E7660" s="4"/>
      <c r="F7660" s="4"/>
    </row>
    <row r="7661" spans="1:6" x14ac:dyDescent="0.4">
      <c r="A7661" s="4"/>
      <c r="B7661" s="4"/>
      <c r="D7661" s="4"/>
      <c r="E7661" s="4"/>
      <c r="F7661" s="4"/>
    </row>
    <row r="7662" spans="1:6" x14ac:dyDescent="0.4">
      <c r="A7662" s="4"/>
      <c r="B7662" s="4"/>
      <c r="D7662" s="4"/>
      <c r="E7662" s="4"/>
      <c r="F7662" s="4"/>
    </row>
    <row r="7663" spans="1:6" x14ac:dyDescent="0.4">
      <c r="A7663" s="4"/>
      <c r="B7663" s="4"/>
      <c r="D7663" s="4"/>
      <c r="E7663" s="4"/>
      <c r="F7663" s="4"/>
    </row>
    <row r="7664" spans="1:6" x14ac:dyDescent="0.4">
      <c r="A7664" s="4"/>
      <c r="B7664" s="4"/>
      <c r="D7664" s="4"/>
      <c r="E7664" s="4"/>
      <c r="F7664" s="4"/>
    </row>
    <row r="7665" spans="1:6" x14ac:dyDescent="0.4">
      <c r="A7665" s="4"/>
      <c r="B7665" s="4"/>
      <c r="D7665" s="4"/>
      <c r="E7665" s="4"/>
      <c r="F7665" s="4"/>
    </row>
    <row r="7666" spans="1:6" x14ac:dyDescent="0.4">
      <c r="A7666" s="4"/>
      <c r="B7666" s="4"/>
      <c r="D7666" s="4"/>
      <c r="E7666" s="4"/>
      <c r="F7666" s="4"/>
    </row>
    <row r="7667" spans="1:6" x14ac:dyDescent="0.4">
      <c r="A7667" s="4"/>
      <c r="B7667" s="4"/>
      <c r="D7667" s="4"/>
      <c r="E7667" s="4"/>
      <c r="F7667" s="4"/>
    </row>
    <row r="7668" spans="1:6" x14ac:dyDescent="0.4">
      <c r="A7668" s="4"/>
      <c r="B7668" s="4"/>
      <c r="D7668" s="4"/>
      <c r="E7668" s="4"/>
      <c r="F7668" s="4"/>
    </row>
    <row r="7669" spans="1:6" x14ac:dyDescent="0.4">
      <c r="A7669" s="4"/>
      <c r="B7669" s="4"/>
      <c r="D7669" s="4"/>
      <c r="E7669" s="4"/>
      <c r="F7669" s="4"/>
    </row>
    <row r="7670" spans="1:6" x14ac:dyDescent="0.4">
      <c r="A7670" s="4"/>
      <c r="B7670" s="4"/>
      <c r="D7670" s="4"/>
      <c r="E7670" s="4"/>
      <c r="F7670" s="4"/>
    </row>
    <row r="7671" spans="1:6" x14ac:dyDescent="0.4">
      <c r="A7671" s="4"/>
      <c r="B7671" s="4"/>
      <c r="D7671" s="4"/>
      <c r="E7671" s="4"/>
      <c r="F7671" s="4"/>
    </row>
    <row r="7672" spans="1:6" x14ac:dyDescent="0.4">
      <c r="A7672" s="4"/>
      <c r="B7672" s="4"/>
      <c r="D7672" s="4"/>
      <c r="E7672" s="4"/>
      <c r="F7672" s="4"/>
    </row>
    <row r="7673" spans="1:6" x14ac:dyDescent="0.4">
      <c r="A7673" s="4"/>
      <c r="B7673" s="4"/>
      <c r="D7673" s="4"/>
      <c r="E7673" s="4"/>
      <c r="F7673" s="4"/>
    </row>
    <row r="7674" spans="1:6" x14ac:dyDescent="0.4">
      <c r="A7674" s="4"/>
      <c r="B7674" s="4"/>
      <c r="D7674" s="4"/>
      <c r="E7674" s="4"/>
      <c r="F7674" s="4"/>
    </row>
    <row r="7675" spans="1:6" x14ac:dyDescent="0.4">
      <c r="A7675" s="4"/>
      <c r="B7675" s="4"/>
      <c r="D7675" s="4"/>
      <c r="E7675" s="4"/>
      <c r="F7675" s="4"/>
    </row>
    <row r="7676" spans="1:6" x14ac:dyDescent="0.4">
      <c r="A7676" s="4"/>
      <c r="B7676" s="4"/>
      <c r="D7676" s="4"/>
      <c r="E7676" s="4"/>
      <c r="F7676" s="4"/>
    </row>
    <row r="7677" spans="1:6" x14ac:dyDescent="0.4">
      <c r="A7677" s="4"/>
      <c r="B7677" s="4"/>
      <c r="D7677" s="4"/>
      <c r="E7677" s="4"/>
      <c r="F7677" s="4"/>
    </row>
    <row r="7678" spans="1:6" x14ac:dyDescent="0.4">
      <c r="A7678" s="4"/>
      <c r="B7678" s="4"/>
      <c r="D7678" s="4"/>
      <c r="E7678" s="4"/>
      <c r="F7678" s="4"/>
    </row>
    <row r="7679" spans="1:6" x14ac:dyDescent="0.4">
      <c r="A7679" s="4"/>
      <c r="B7679" s="4"/>
      <c r="D7679" s="4"/>
      <c r="E7679" s="4"/>
      <c r="F7679" s="4"/>
    </row>
    <row r="7680" spans="1:6" x14ac:dyDescent="0.4">
      <c r="A7680" s="4"/>
      <c r="B7680" s="4"/>
      <c r="D7680" s="4"/>
      <c r="E7680" s="4"/>
      <c r="F7680" s="4"/>
    </row>
    <row r="7681" spans="1:6" x14ac:dyDescent="0.4">
      <c r="A7681" s="4"/>
      <c r="B7681" s="4"/>
      <c r="D7681" s="4"/>
      <c r="E7681" s="4"/>
      <c r="F7681" s="4"/>
    </row>
    <row r="7682" spans="1:6" x14ac:dyDescent="0.4">
      <c r="A7682" s="4"/>
      <c r="B7682" s="4"/>
      <c r="D7682" s="4"/>
      <c r="E7682" s="4"/>
      <c r="F7682" s="4"/>
    </row>
    <row r="7683" spans="1:6" x14ac:dyDescent="0.4">
      <c r="A7683" s="4"/>
      <c r="B7683" s="4"/>
      <c r="D7683" s="4"/>
      <c r="E7683" s="4"/>
      <c r="F7683" s="4"/>
    </row>
    <row r="7684" spans="1:6" x14ac:dyDescent="0.4">
      <c r="A7684" s="4"/>
      <c r="B7684" s="4"/>
      <c r="D7684" s="4"/>
      <c r="E7684" s="4"/>
      <c r="F7684" s="4"/>
    </row>
    <row r="7685" spans="1:6" x14ac:dyDescent="0.4">
      <c r="A7685" s="4"/>
      <c r="B7685" s="4"/>
      <c r="D7685" s="4"/>
      <c r="E7685" s="4"/>
      <c r="F7685" s="4"/>
    </row>
    <row r="7686" spans="1:6" x14ac:dyDescent="0.4">
      <c r="A7686" s="4"/>
      <c r="B7686" s="4"/>
      <c r="D7686" s="4"/>
      <c r="E7686" s="4"/>
      <c r="F7686" s="4"/>
    </row>
    <row r="7687" spans="1:6" x14ac:dyDescent="0.4">
      <c r="A7687" s="4"/>
      <c r="B7687" s="4"/>
      <c r="D7687" s="4"/>
      <c r="E7687" s="4"/>
      <c r="F7687" s="4"/>
    </row>
    <row r="7688" spans="1:6" x14ac:dyDescent="0.4">
      <c r="A7688" s="4"/>
      <c r="B7688" s="4"/>
      <c r="D7688" s="4"/>
      <c r="E7688" s="4"/>
      <c r="F7688" s="4"/>
    </row>
    <row r="7689" spans="1:6" x14ac:dyDescent="0.4">
      <c r="A7689" s="4"/>
      <c r="B7689" s="4"/>
      <c r="D7689" s="4"/>
      <c r="E7689" s="4"/>
      <c r="F7689" s="4"/>
    </row>
    <row r="7690" spans="1:6" x14ac:dyDescent="0.4">
      <c r="A7690" s="4"/>
      <c r="B7690" s="4"/>
      <c r="D7690" s="4"/>
      <c r="E7690" s="4"/>
      <c r="F7690" s="4"/>
    </row>
    <row r="7691" spans="1:6" x14ac:dyDescent="0.4">
      <c r="A7691" s="4"/>
      <c r="B7691" s="4"/>
      <c r="D7691" s="4"/>
      <c r="E7691" s="4"/>
      <c r="F7691" s="4"/>
    </row>
    <row r="7692" spans="1:6" x14ac:dyDescent="0.4">
      <c r="A7692" s="4"/>
      <c r="B7692" s="4"/>
      <c r="D7692" s="4"/>
      <c r="E7692" s="4"/>
      <c r="F7692" s="4"/>
    </row>
    <row r="7693" spans="1:6" x14ac:dyDescent="0.4">
      <c r="A7693" s="4"/>
      <c r="B7693" s="4"/>
      <c r="D7693" s="4"/>
      <c r="E7693" s="4"/>
      <c r="F7693" s="4"/>
    </row>
    <row r="7694" spans="1:6" x14ac:dyDescent="0.4">
      <c r="A7694" s="4"/>
      <c r="B7694" s="4"/>
      <c r="D7694" s="4"/>
      <c r="E7694" s="4"/>
      <c r="F7694" s="4"/>
    </row>
    <row r="7695" spans="1:6" x14ac:dyDescent="0.4">
      <c r="A7695" s="4"/>
      <c r="B7695" s="4"/>
      <c r="D7695" s="4"/>
      <c r="E7695" s="4"/>
      <c r="F7695" s="4"/>
    </row>
    <row r="7696" spans="1:6" x14ac:dyDescent="0.4">
      <c r="A7696" s="4"/>
      <c r="B7696" s="4"/>
      <c r="D7696" s="4"/>
      <c r="E7696" s="4"/>
      <c r="F7696" s="4"/>
    </row>
    <row r="7697" spans="1:6" x14ac:dyDescent="0.4">
      <c r="A7697" s="4"/>
      <c r="B7697" s="4"/>
      <c r="D7697" s="4"/>
      <c r="E7697" s="4"/>
      <c r="F7697" s="4"/>
    </row>
    <row r="7698" spans="1:6" x14ac:dyDescent="0.4">
      <c r="A7698" s="4"/>
      <c r="B7698" s="4"/>
      <c r="D7698" s="4"/>
      <c r="E7698" s="4"/>
      <c r="F7698" s="4"/>
    </row>
    <row r="7699" spans="1:6" x14ac:dyDescent="0.4">
      <c r="A7699" s="4"/>
      <c r="B7699" s="4"/>
      <c r="D7699" s="4"/>
      <c r="E7699" s="4"/>
      <c r="F7699" s="4"/>
    </row>
    <row r="7700" spans="1:6" x14ac:dyDescent="0.4">
      <c r="A7700" s="4"/>
      <c r="B7700" s="4"/>
      <c r="D7700" s="4"/>
      <c r="E7700" s="4"/>
      <c r="F7700" s="4"/>
    </row>
    <row r="7701" spans="1:6" x14ac:dyDescent="0.4">
      <c r="A7701" s="4"/>
      <c r="B7701" s="4"/>
      <c r="D7701" s="4"/>
      <c r="E7701" s="4"/>
      <c r="F7701" s="4"/>
    </row>
    <row r="7702" spans="1:6" x14ac:dyDescent="0.4">
      <c r="A7702" s="4"/>
      <c r="B7702" s="4"/>
      <c r="D7702" s="4"/>
      <c r="E7702" s="4"/>
      <c r="F7702" s="4"/>
    </row>
    <row r="7703" spans="1:6" x14ac:dyDescent="0.4">
      <c r="A7703" s="4"/>
      <c r="B7703" s="4"/>
      <c r="D7703" s="4"/>
      <c r="E7703" s="4"/>
      <c r="F7703" s="4"/>
    </row>
    <row r="7704" spans="1:6" x14ac:dyDescent="0.4">
      <c r="A7704" s="4"/>
      <c r="B7704" s="4"/>
      <c r="D7704" s="4"/>
      <c r="E7704" s="4"/>
      <c r="F7704" s="4"/>
    </row>
    <row r="7705" spans="1:6" x14ac:dyDescent="0.4">
      <c r="A7705" s="4"/>
      <c r="B7705" s="4"/>
      <c r="D7705" s="4"/>
      <c r="E7705" s="4"/>
      <c r="F7705" s="4"/>
    </row>
    <row r="7706" spans="1:6" x14ac:dyDescent="0.4">
      <c r="A7706" s="4"/>
      <c r="B7706" s="4"/>
      <c r="D7706" s="4"/>
      <c r="E7706" s="4"/>
      <c r="F7706" s="4"/>
    </row>
    <row r="7707" spans="1:6" x14ac:dyDescent="0.4">
      <c r="A7707" s="4"/>
      <c r="B7707" s="4"/>
      <c r="D7707" s="4"/>
      <c r="E7707" s="4"/>
      <c r="F7707" s="4"/>
    </row>
    <row r="7708" spans="1:6" x14ac:dyDescent="0.4">
      <c r="A7708" s="4"/>
      <c r="B7708" s="4"/>
      <c r="D7708" s="4"/>
      <c r="E7708" s="4"/>
      <c r="F7708" s="4"/>
    </row>
    <row r="7709" spans="1:6" x14ac:dyDescent="0.4">
      <c r="A7709" s="4"/>
      <c r="B7709" s="4"/>
      <c r="D7709" s="4"/>
      <c r="E7709" s="4"/>
      <c r="F7709" s="4"/>
    </row>
    <row r="7710" spans="1:6" x14ac:dyDescent="0.4">
      <c r="A7710" s="4"/>
      <c r="B7710" s="4"/>
      <c r="D7710" s="4"/>
      <c r="E7710" s="4"/>
      <c r="F7710" s="4"/>
    </row>
    <row r="7711" spans="1:6" x14ac:dyDescent="0.4">
      <c r="A7711" s="4"/>
      <c r="B7711" s="4"/>
      <c r="D7711" s="4"/>
      <c r="E7711" s="4"/>
      <c r="F7711" s="4"/>
    </row>
    <row r="7712" spans="1:6" x14ac:dyDescent="0.4">
      <c r="A7712" s="4"/>
      <c r="B7712" s="4"/>
      <c r="D7712" s="4"/>
      <c r="E7712" s="4"/>
      <c r="F7712" s="4"/>
    </row>
    <row r="7713" spans="1:6" x14ac:dyDescent="0.4">
      <c r="A7713" s="4"/>
      <c r="B7713" s="4"/>
      <c r="D7713" s="4"/>
      <c r="E7713" s="4"/>
      <c r="F7713" s="4"/>
    </row>
    <row r="7714" spans="1:6" x14ac:dyDescent="0.4">
      <c r="A7714" s="4"/>
      <c r="B7714" s="4"/>
      <c r="D7714" s="4"/>
      <c r="E7714" s="4"/>
      <c r="F7714" s="4"/>
    </row>
    <row r="7715" spans="1:6" x14ac:dyDescent="0.4">
      <c r="A7715" s="4"/>
      <c r="B7715" s="4"/>
      <c r="D7715" s="4"/>
      <c r="E7715" s="4"/>
      <c r="F7715" s="4"/>
    </row>
    <row r="7716" spans="1:6" x14ac:dyDescent="0.4">
      <c r="A7716" s="4"/>
      <c r="B7716" s="4"/>
      <c r="D7716" s="4"/>
      <c r="E7716" s="4"/>
      <c r="F7716" s="4"/>
    </row>
    <row r="7717" spans="1:6" x14ac:dyDescent="0.4">
      <c r="A7717" s="4"/>
      <c r="B7717" s="4"/>
      <c r="D7717" s="4"/>
      <c r="E7717" s="4"/>
      <c r="F7717" s="4"/>
    </row>
    <row r="7718" spans="1:6" x14ac:dyDescent="0.4">
      <c r="A7718" s="4"/>
      <c r="B7718" s="4"/>
      <c r="D7718" s="4"/>
      <c r="E7718" s="4"/>
      <c r="F7718" s="4"/>
    </row>
    <row r="7719" spans="1:6" x14ac:dyDescent="0.4">
      <c r="A7719" s="4"/>
      <c r="B7719" s="4"/>
      <c r="D7719" s="4"/>
      <c r="E7719" s="4"/>
      <c r="F7719" s="4"/>
    </row>
    <row r="7720" spans="1:6" x14ac:dyDescent="0.4">
      <c r="A7720" s="4"/>
      <c r="B7720" s="4"/>
      <c r="D7720" s="4"/>
      <c r="E7720" s="4"/>
      <c r="F7720" s="4"/>
    </row>
    <row r="7721" spans="1:6" x14ac:dyDescent="0.4">
      <c r="A7721" s="4"/>
      <c r="B7721" s="4"/>
      <c r="D7721" s="4"/>
      <c r="E7721" s="4"/>
      <c r="F7721" s="4"/>
    </row>
    <row r="7722" spans="1:6" x14ac:dyDescent="0.4">
      <c r="A7722" s="4"/>
      <c r="B7722" s="4"/>
      <c r="D7722" s="4"/>
      <c r="E7722" s="4"/>
      <c r="F7722" s="4"/>
    </row>
    <row r="7723" spans="1:6" x14ac:dyDescent="0.4">
      <c r="A7723" s="4"/>
      <c r="B7723" s="4"/>
      <c r="D7723" s="4"/>
      <c r="E7723" s="4"/>
      <c r="F7723" s="4"/>
    </row>
    <row r="7724" spans="1:6" x14ac:dyDescent="0.4">
      <c r="A7724" s="4"/>
      <c r="B7724" s="4"/>
      <c r="D7724" s="4"/>
      <c r="E7724" s="4"/>
      <c r="F7724" s="4"/>
    </row>
    <row r="7725" spans="1:6" x14ac:dyDescent="0.4">
      <c r="A7725" s="4"/>
      <c r="B7725" s="4"/>
      <c r="D7725" s="4"/>
      <c r="E7725" s="4"/>
      <c r="F7725" s="4"/>
    </row>
    <row r="7726" spans="1:6" x14ac:dyDescent="0.4">
      <c r="A7726" s="4"/>
      <c r="B7726" s="4"/>
      <c r="D7726" s="4"/>
      <c r="E7726" s="4"/>
      <c r="F7726" s="4"/>
    </row>
    <row r="7727" spans="1:6" x14ac:dyDescent="0.4">
      <c r="A7727" s="4"/>
      <c r="B7727" s="4"/>
      <c r="D7727" s="4"/>
      <c r="E7727" s="4"/>
      <c r="F7727" s="4"/>
    </row>
    <row r="7728" spans="1:6" x14ac:dyDescent="0.4">
      <c r="A7728" s="4"/>
      <c r="B7728" s="4"/>
      <c r="D7728" s="4"/>
      <c r="E7728" s="4"/>
      <c r="F7728" s="4"/>
    </row>
    <row r="7729" spans="1:6" x14ac:dyDescent="0.4">
      <c r="A7729" s="4"/>
      <c r="B7729" s="4"/>
      <c r="D7729" s="4"/>
      <c r="E7729" s="4"/>
      <c r="F7729" s="4"/>
    </row>
    <row r="7730" spans="1:6" x14ac:dyDescent="0.4">
      <c r="A7730" s="4"/>
      <c r="B7730" s="4"/>
      <c r="D7730" s="4"/>
      <c r="E7730" s="4"/>
      <c r="F7730" s="4"/>
    </row>
    <row r="7731" spans="1:6" x14ac:dyDescent="0.4">
      <c r="A7731" s="4"/>
      <c r="B7731" s="4"/>
      <c r="D7731" s="4"/>
      <c r="E7731" s="4"/>
      <c r="F7731" s="4"/>
    </row>
    <row r="7732" spans="1:6" x14ac:dyDescent="0.4">
      <c r="A7732" s="4"/>
      <c r="B7732" s="4"/>
      <c r="D7732" s="4"/>
      <c r="E7732" s="4"/>
      <c r="F7732" s="4"/>
    </row>
    <row r="7733" spans="1:6" x14ac:dyDescent="0.4">
      <c r="A7733" s="4"/>
      <c r="B7733" s="4"/>
      <c r="D7733" s="4"/>
      <c r="E7733" s="4"/>
      <c r="F7733" s="4"/>
    </row>
    <row r="7734" spans="1:6" x14ac:dyDescent="0.4">
      <c r="A7734" s="4"/>
      <c r="B7734" s="4"/>
      <c r="D7734" s="4"/>
      <c r="E7734" s="4"/>
      <c r="F7734" s="4"/>
    </row>
    <row r="7735" spans="1:6" x14ac:dyDescent="0.4">
      <c r="A7735" s="4"/>
      <c r="B7735" s="4"/>
      <c r="D7735" s="4"/>
      <c r="E7735" s="4"/>
      <c r="F7735" s="4"/>
    </row>
    <row r="7736" spans="1:6" x14ac:dyDescent="0.4">
      <c r="A7736" s="4"/>
      <c r="B7736" s="4"/>
      <c r="D7736" s="4"/>
      <c r="E7736" s="4"/>
      <c r="F7736" s="4"/>
    </row>
    <row r="7737" spans="1:6" x14ac:dyDescent="0.4">
      <c r="A7737" s="4"/>
      <c r="B7737" s="4"/>
      <c r="D7737" s="4"/>
      <c r="E7737" s="4"/>
      <c r="F7737" s="4"/>
    </row>
    <row r="7738" spans="1:6" x14ac:dyDescent="0.4">
      <c r="A7738" s="4"/>
      <c r="B7738" s="4"/>
      <c r="D7738" s="4"/>
      <c r="E7738" s="4"/>
      <c r="F7738" s="4"/>
    </row>
    <row r="7739" spans="1:6" x14ac:dyDescent="0.4">
      <c r="A7739" s="4"/>
      <c r="B7739" s="4"/>
      <c r="D7739" s="4"/>
      <c r="E7739" s="4"/>
      <c r="F7739" s="4"/>
    </row>
    <row r="7740" spans="1:6" x14ac:dyDescent="0.4">
      <c r="A7740" s="4"/>
      <c r="B7740" s="4"/>
      <c r="D7740" s="4"/>
      <c r="E7740" s="4"/>
      <c r="F7740" s="4"/>
    </row>
    <row r="7741" spans="1:6" x14ac:dyDescent="0.4">
      <c r="A7741" s="4"/>
      <c r="B7741" s="4"/>
      <c r="D7741" s="4"/>
      <c r="E7741" s="4"/>
      <c r="F7741" s="4"/>
    </row>
    <row r="7742" spans="1:6" x14ac:dyDescent="0.4">
      <c r="A7742" s="4"/>
      <c r="B7742" s="4"/>
      <c r="D7742" s="4"/>
      <c r="E7742" s="4"/>
      <c r="F7742" s="4"/>
    </row>
    <row r="7743" spans="1:6" x14ac:dyDescent="0.4">
      <c r="A7743" s="4"/>
      <c r="B7743" s="4"/>
      <c r="D7743" s="4"/>
      <c r="E7743" s="4"/>
      <c r="F7743" s="4"/>
    </row>
    <row r="7744" spans="1:6" x14ac:dyDescent="0.4">
      <c r="A7744" s="4"/>
      <c r="B7744" s="4"/>
      <c r="D7744" s="4"/>
      <c r="E7744" s="4"/>
      <c r="F7744" s="4"/>
    </row>
    <row r="7745" spans="1:6" x14ac:dyDescent="0.4">
      <c r="A7745" s="4"/>
      <c r="B7745" s="4"/>
      <c r="D7745" s="4"/>
      <c r="E7745" s="4"/>
      <c r="F7745" s="4"/>
    </row>
    <row r="7746" spans="1:6" x14ac:dyDescent="0.4">
      <c r="A7746" s="4"/>
      <c r="B7746" s="4"/>
      <c r="D7746" s="4"/>
      <c r="E7746" s="4"/>
      <c r="F7746" s="4"/>
    </row>
    <row r="7747" spans="1:6" x14ac:dyDescent="0.4">
      <c r="A7747" s="4"/>
      <c r="B7747" s="4"/>
      <c r="D7747" s="4"/>
      <c r="E7747" s="4"/>
      <c r="F7747" s="4"/>
    </row>
    <row r="7748" spans="1:6" x14ac:dyDescent="0.4">
      <c r="A7748" s="4"/>
      <c r="B7748" s="4"/>
      <c r="D7748" s="4"/>
      <c r="E7748" s="4"/>
      <c r="F7748" s="4"/>
    </row>
    <row r="7749" spans="1:6" x14ac:dyDescent="0.4">
      <c r="A7749" s="4"/>
      <c r="B7749" s="4"/>
      <c r="D7749" s="4"/>
      <c r="E7749" s="4"/>
      <c r="F7749" s="4"/>
    </row>
    <row r="7750" spans="1:6" x14ac:dyDescent="0.4">
      <c r="A7750" s="4"/>
      <c r="B7750" s="4"/>
      <c r="D7750" s="4"/>
      <c r="E7750" s="4"/>
      <c r="F7750" s="4"/>
    </row>
    <row r="7751" spans="1:6" x14ac:dyDescent="0.4">
      <c r="A7751" s="4"/>
      <c r="B7751" s="4"/>
      <c r="D7751" s="4"/>
      <c r="E7751" s="4"/>
      <c r="F7751" s="4"/>
    </row>
    <row r="7752" spans="1:6" x14ac:dyDescent="0.4">
      <c r="A7752" s="4"/>
      <c r="B7752" s="4"/>
      <c r="D7752" s="4"/>
      <c r="E7752" s="4"/>
      <c r="F7752" s="4"/>
    </row>
    <row r="7753" spans="1:6" x14ac:dyDescent="0.4">
      <c r="A7753" s="4"/>
      <c r="B7753" s="4"/>
      <c r="D7753" s="4"/>
      <c r="E7753" s="4"/>
      <c r="F7753" s="4"/>
    </row>
    <row r="7754" spans="1:6" x14ac:dyDescent="0.4">
      <c r="A7754" s="4"/>
      <c r="B7754" s="4"/>
      <c r="D7754" s="4"/>
      <c r="E7754" s="4"/>
      <c r="F7754" s="4"/>
    </row>
    <row r="7755" spans="1:6" x14ac:dyDescent="0.4">
      <c r="A7755" s="4"/>
      <c r="B7755" s="4"/>
      <c r="D7755" s="4"/>
      <c r="E7755" s="4"/>
      <c r="F7755" s="4"/>
    </row>
    <row r="7756" spans="1:6" x14ac:dyDescent="0.4">
      <c r="A7756" s="4"/>
      <c r="B7756" s="4"/>
      <c r="D7756" s="4"/>
      <c r="E7756" s="4"/>
      <c r="F7756" s="4"/>
    </row>
    <row r="7757" spans="1:6" x14ac:dyDescent="0.4">
      <c r="A7757" s="4"/>
      <c r="B7757" s="4"/>
      <c r="D7757" s="4"/>
      <c r="E7757" s="4"/>
      <c r="F7757" s="4"/>
    </row>
    <row r="7758" spans="1:6" x14ac:dyDescent="0.4">
      <c r="A7758" s="4"/>
      <c r="B7758" s="4"/>
      <c r="D7758" s="4"/>
      <c r="E7758" s="4"/>
      <c r="F7758" s="4"/>
    </row>
    <row r="7759" spans="1:6" x14ac:dyDescent="0.4">
      <c r="A7759" s="4"/>
      <c r="B7759" s="4"/>
      <c r="D7759" s="4"/>
      <c r="E7759" s="4"/>
      <c r="F7759" s="4"/>
    </row>
    <row r="7760" spans="1:6" x14ac:dyDescent="0.4">
      <c r="A7760" s="4"/>
      <c r="B7760" s="4"/>
      <c r="D7760" s="4"/>
      <c r="E7760" s="4"/>
      <c r="F7760" s="4"/>
    </row>
    <row r="7761" spans="1:6" x14ac:dyDescent="0.4">
      <c r="A7761" s="4"/>
      <c r="B7761" s="4"/>
      <c r="D7761" s="4"/>
      <c r="E7761" s="4"/>
      <c r="F7761" s="4"/>
    </row>
    <row r="7762" spans="1:6" x14ac:dyDescent="0.4">
      <c r="A7762" s="4"/>
      <c r="B7762" s="4"/>
      <c r="D7762" s="4"/>
      <c r="E7762" s="4"/>
      <c r="F7762" s="4"/>
    </row>
    <row r="7763" spans="1:6" x14ac:dyDescent="0.4">
      <c r="A7763" s="4"/>
      <c r="B7763" s="4"/>
      <c r="D7763" s="4"/>
      <c r="E7763" s="4"/>
      <c r="F7763" s="4"/>
    </row>
    <row r="7764" spans="1:6" x14ac:dyDescent="0.4">
      <c r="A7764" s="4"/>
      <c r="B7764" s="4"/>
      <c r="D7764" s="4"/>
      <c r="E7764" s="4"/>
      <c r="F7764" s="4"/>
    </row>
    <row r="7765" spans="1:6" x14ac:dyDescent="0.4">
      <c r="A7765" s="4"/>
      <c r="B7765" s="4"/>
      <c r="D7765" s="4"/>
      <c r="E7765" s="4"/>
      <c r="F7765" s="4"/>
    </row>
    <row r="7766" spans="1:6" x14ac:dyDescent="0.4">
      <c r="A7766" s="4"/>
      <c r="B7766" s="4"/>
      <c r="D7766" s="4"/>
      <c r="E7766" s="4"/>
      <c r="F7766" s="4"/>
    </row>
    <row r="7767" spans="1:6" x14ac:dyDescent="0.4">
      <c r="A7767" s="4"/>
      <c r="B7767" s="4"/>
      <c r="D7767" s="4"/>
      <c r="E7767" s="4"/>
      <c r="F7767" s="4"/>
    </row>
    <row r="7768" spans="1:6" x14ac:dyDescent="0.4">
      <c r="A7768" s="4"/>
      <c r="B7768" s="4"/>
      <c r="D7768" s="4"/>
      <c r="E7768" s="4"/>
      <c r="F7768" s="4"/>
    </row>
    <row r="7769" spans="1:6" x14ac:dyDescent="0.4">
      <c r="A7769" s="4"/>
      <c r="B7769" s="4"/>
      <c r="D7769" s="4"/>
      <c r="E7769" s="4"/>
      <c r="F7769" s="4"/>
    </row>
    <row r="7770" spans="1:6" x14ac:dyDescent="0.4">
      <c r="A7770" s="4"/>
      <c r="B7770" s="4"/>
      <c r="D7770" s="4"/>
      <c r="E7770" s="4"/>
      <c r="F7770" s="4"/>
    </row>
    <row r="7771" spans="1:6" x14ac:dyDescent="0.4">
      <c r="A7771" s="4"/>
      <c r="B7771" s="4"/>
      <c r="D7771" s="4"/>
      <c r="E7771" s="4"/>
      <c r="F7771" s="4"/>
    </row>
    <row r="7772" spans="1:6" x14ac:dyDescent="0.4">
      <c r="A7772" s="4"/>
      <c r="B7772" s="4"/>
      <c r="D7772" s="4"/>
      <c r="E7772" s="4"/>
      <c r="F7772" s="4"/>
    </row>
    <row r="7773" spans="1:6" x14ac:dyDescent="0.4">
      <c r="A7773" s="4"/>
      <c r="B7773" s="4"/>
      <c r="D7773" s="4"/>
      <c r="E7773" s="4"/>
      <c r="F7773" s="4"/>
    </row>
    <row r="7774" spans="1:6" x14ac:dyDescent="0.4">
      <c r="A7774" s="4"/>
      <c r="B7774" s="4"/>
      <c r="D7774" s="4"/>
      <c r="E7774" s="4"/>
      <c r="F7774" s="4"/>
    </row>
    <row r="7775" spans="1:6" x14ac:dyDescent="0.4">
      <c r="A7775" s="4"/>
      <c r="B7775" s="4"/>
      <c r="D7775" s="4"/>
      <c r="E7775" s="4"/>
      <c r="F7775" s="4"/>
    </row>
    <row r="7776" spans="1:6" x14ac:dyDescent="0.4">
      <c r="A7776" s="4"/>
      <c r="B7776" s="4"/>
      <c r="D7776" s="4"/>
      <c r="E7776" s="4"/>
      <c r="F7776" s="4"/>
    </row>
    <row r="7777" spans="1:6" x14ac:dyDescent="0.4">
      <c r="A7777" s="4"/>
      <c r="B7777" s="4"/>
      <c r="D7777" s="4"/>
      <c r="E7777" s="4"/>
      <c r="F7777" s="4"/>
    </row>
    <row r="7778" spans="1:6" x14ac:dyDescent="0.4">
      <c r="A7778" s="4"/>
      <c r="B7778" s="4"/>
      <c r="D7778" s="4"/>
      <c r="E7778" s="4"/>
      <c r="F7778" s="4"/>
    </row>
    <row r="7779" spans="1:6" x14ac:dyDescent="0.4">
      <c r="A7779" s="4"/>
      <c r="B7779" s="4"/>
      <c r="D7779" s="4"/>
      <c r="E7779" s="4"/>
      <c r="F7779" s="4"/>
    </row>
    <row r="7780" spans="1:6" x14ac:dyDescent="0.4">
      <c r="A7780" s="4"/>
      <c r="B7780" s="4"/>
      <c r="D7780" s="4"/>
      <c r="E7780" s="4"/>
      <c r="F7780" s="4"/>
    </row>
    <row r="7781" spans="1:6" x14ac:dyDescent="0.4">
      <c r="A7781" s="4"/>
      <c r="B7781" s="4"/>
      <c r="D7781" s="4"/>
      <c r="E7781" s="4"/>
      <c r="F7781" s="4"/>
    </row>
    <row r="7782" spans="1:6" x14ac:dyDescent="0.4">
      <c r="A7782" s="4"/>
      <c r="B7782" s="4"/>
      <c r="D7782" s="4"/>
      <c r="E7782" s="4"/>
      <c r="F7782" s="4"/>
    </row>
    <row r="7783" spans="1:6" x14ac:dyDescent="0.4">
      <c r="A7783" s="4"/>
      <c r="B7783" s="4"/>
      <c r="D7783" s="4"/>
      <c r="E7783" s="4"/>
      <c r="F7783" s="4"/>
    </row>
    <row r="7784" spans="1:6" x14ac:dyDescent="0.4">
      <c r="A7784" s="4"/>
      <c r="B7784" s="4"/>
      <c r="D7784" s="4"/>
      <c r="E7784" s="4"/>
      <c r="F7784" s="4"/>
    </row>
    <row r="7785" spans="1:6" x14ac:dyDescent="0.4">
      <c r="A7785" s="4"/>
      <c r="B7785" s="4"/>
      <c r="D7785" s="4"/>
      <c r="E7785" s="4"/>
      <c r="F7785" s="4"/>
    </row>
    <row r="7786" spans="1:6" x14ac:dyDescent="0.4">
      <c r="A7786" s="4"/>
      <c r="B7786" s="4"/>
      <c r="D7786" s="4"/>
      <c r="E7786" s="4"/>
      <c r="F7786" s="4"/>
    </row>
    <row r="7787" spans="1:6" x14ac:dyDescent="0.4">
      <c r="A7787" s="4"/>
      <c r="B7787" s="4"/>
      <c r="D7787" s="4"/>
      <c r="E7787" s="4"/>
      <c r="F7787" s="4"/>
    </row>
    <row r="7788" spans="1:6" x14ac:dyDescent="0.4">
      <c r="A7788" s="4"/>
      <c r="B7788" s="4"/>
      <c r="D7788" s="4"/>
      <c r="E7788" s="4"/>
      <c r="F7788" s="4"/>
    </row>
    <row r="7789" spans="1:6" x14ac:dyDescent="0.4">
      <c r="A7789" s="4"/>
      <c r="B7789" s="4"/>
      <c r="D7789" s="4"/>
      <c r="E7789" s="4"/>
      <c r="F7789" s="4"/>
    </row>
    <row r="7790" spans="1:6" x14ac:dyDescent="0.4">
      <c r="A7790" s="4"/>
      <c r="B7790" s="4"/>
      <c r="D7790" s="4"/>
      <c r="E7790" s="4"/>
      <c r="F7790" s="4"/>
    </row>
    <row r="7791" spans="1:6" x14ac:dyDescent="0.4">
      <c r="A7791" s="4"/>
      <c r="B7791" s="4"/>
      <c r="D7791" s="4"/>
      <c r="E7791" s="4"/>
      <c r="F7791" s="4"/>
    </row>
    <row r="7792" spans="1:6" x14ac:dyDescent="0.4">
      <c r="A7792" s="4"/>
      <c r="B7792" s="4"/>
      <c r="D7792" s="4"/>
      <c r="E7792" s="4"/>
      <c r="F7792" s="4"/>
    </row>
    <row r="7793" spans="1:6" x14ac:dyDescent="0.4">
      <c r="A7793" s="4"/>
      <c r="B7793" s="4"/>
      <c r="D7793" s="4"/>
      <c r="E7793" s="4"/>
      <c r="F7793" s="4"/>
    </row>
    <row r="7794" spans="1:6" x14ac:dyDescent="0.4">
      <c r="A7794" s="4"/>
      <c r="B7794" s="4"/>
      <c r="D7794" s="4"/>
      <c r="E7794" s="4"/>
      <c r="F7794" s="4"/>
    </row>
    <row r="7795" spans="1:6" x14ac:dyDescent="0.4">
      <c r="A7795" s="4"/>
      <c r="B7795" s="4"/>
      <c r="D7795" s="4"/>
      <c r="E7795" s="4"/>
      <c r="F7795" s="4"/>
    </row>
    <row r="7796" spans="1:6" x14ac:dyDescent="0.4">
      <c r="A7796" s="4"/>
      <c r="B7796" s="4"/>
      <c r="D7796" s="4"/>
      <c r="E7796" s="4"/>
      <c r="F7796" s="4"/>
    </row>
    <row r="7797" spans="1:6" x14ac:dyDescent="0.4">
      <c r="A7797" s="4"/>
      <c r="B7797" s="4"/>
      <c r="D7797" s="4"/>
      <c r="E7797" s="4"/>
      <c r="F7797" s="4"/>
    </row>
    <row r="7798" spans="1:6" x14ac:dyDescent="0.4">
      <c r="A7798" s="4"/>
      <c r="B7798" s="4"/>
      <c r="D7798" s="4"/>
      <c r="E7798" s="4"/>
      <c r="F7798" s="4"/>
    </row>
    <row r="7799" spans="1:6" x14ac:dyDescent="0.4">
      <c r="A7799" s="4"/>
      <c r="B7799" s="4"/>
      <c r="D7799" s="4"/>
      <c r="E7799" s="4"/>
      <c r="F7799" s="4"/>
    </row>
    <row r="7800" spans="1:6" x14ac:dyDescent="0.4">
      <c r="A7800" s="4"/>
      <c r="B7800" s="4"/>
      <c r="D7800" s="4"/>
      <c r="E7800" s="4"/>
      <c r="F7800" s="4"/>
    </row>
    <row r="7801" spans="1:6" x14ac:dyDescent="0.4">
      <c r="A7801" s="4"/>
      <c r="B7801" s="4"/>
      <c r="D7801" s="4"/>
      <c r="E7801" s="4"/>
      <c r="F7801" s="4"/>
    </row>
    <row r="7802" spans="1:6" x14ac:dyDescent="0.4">
      <c r="A7802" s="4"/>
      <c r="B7802" s="4"/>
      <c r="D7802" s="4"/>
      <c r="E7802" s="4"/>
      <c r="F7802" s="4"/>
    </row>
    <row r="7803" spans="1:6" x14ac:dyDescent="0.4">
      <c r="A7803" s="4"/>
      <c r="B7803" s="4"/>
      <c r="D7803" s="4"/>
      <c r="E7803" s="4"/>
      <c r="F7803" s="4"/>
    </row>
    <row r="7804" spans="1:6" x14ac:dyDescent="0.4">
      <c r="A7804" s="4"/>
      <c r="B7804" s="4"/>
      <c r="D7804" s="4"/>
      <c r="E7804" s="4"/>
      <c r="F7804" s="4"/>
    </row>
    <row r="7805" spans="1:6" x14ac:dyDescent="0.4">
      <c r="A7805" s="4"/>
      <c r="B7805" s="4"/>
      <c r="D7805" s="4"/>
      <c r="E7805" s="4"/>
      <c r="F7805" s="4"/>
    </row>
    <row r="7806" spans="1:6" x14ac:dyDescent="0.4">
      <c r="A7806" s="4"/>
      <c r="B7806" s="4"/>
      <c r="D7806" s="4"/>
      <c r="E7806" s="4"/>
      <c r="F7806" s="4"/>
    </row>
    <row r="7807" spans="1:6" x14ac:dyDescent="0.4">
      <c r="A7807" s="4"/>
      <c r="B7807" s="4"/>
      <c r="D7807" s="4"/>
      <c r="E7807" s="4"/>
      <c r="F7807" s="4"/>
    </row>
    <row r="7808" spans="1:6" x14ac:dyDescent="0.4">
      <c r="A7808" s="4"/>
      <c r="B7808" s="4"/>
      <c r="D7808" s="4"/>
      <c r="E7808" s="4"/>
      <c r="F7808" s="4"/>
    </row>
    <row r="7809" spans="1:6" x14ac:dyDescent="0.4">
      <c r="A7809" s="4"/>
      <c r="B7809" s="4"/>
      <c r="D7809" s="4"/>
      <c r="E7809" s="4"/>
      <c r="F7809" s="4"/>
    </row>
    <row r="7810" spans="1:6" x14ac:dyDescent="0.4">
      <c r="A7810" s="4"/>
      <c r="B7810" s="4"/>
      <c r="D7810" s="4"/>
      <c r="E7810" s="4"/>
      <c r="F7810" s="4"/>
    </row>
    <row r="7811" spans="1:6" x14ac:dyDescent="0.4">
      <c r="A7811" s="4"/>
      <c r="B7811" s="4"/>
      <c r="D7811" s="4"/>
      <c r="E7811" s="4"/>
      <c r="F7811" s="4"/>
    </row>
    <row r="7812" spans="1:6" x14ac:dyDescent="0.4">
      <c r="A7812" s="4"/>
      <c r="B7812" s="4"/>
      <c r="D7812" s="4"/>
      <c r="E7812" s="4"/>
      <c r="F7812" s="4"/>
    </row>
    <row r="7813" spans="1:6" x14ac:dyDescent="0.4">
      <c r="A7813" s="4"/>
      <c r="B7813" s="4"/>
      <c r="D7813" s="4"/>
      <c r="E7813" s="4"/>
      <c r="F7813" s="4"/>
    </row>
    <row r="7814" spans="1:6" x14ac:dyDescent="0.4">
      <c r="A7814" s="4"/>
      <c r="B7814" s="4"/>
      <c r="D7814" s="4"/>
      <c r="E7814" s="4"/>
      <c r="F7814" s="4"/>
    </row>
    <row r="7815" spans="1:6" x14ac:dyDescent="0.4">
      <c r="A7815" s="4"/>
      <c r="B7815" s="4"/>
      <c r="D7815" s="4"/>
      <c r="E7815" s="4"/>
      <c r="F7815" s="4"/>
    </row>
    <row r="7816" spans="1:6" x14ac:dyDescent="0.4">
      <c r="A7816" s="4"/>
      <c r="B7816" s="4"/>
      <c r="D7816" s="4"/>
      <c r="E7816" s="4"/>
      <c r="F7816" s="4"/>
    </row>
    <row r="7817" spans="1:6" x14ac:dyDescent="0.4">
      <c r="A7817" s="4"/>
      <c r="B7817" s="4"/>
      <c r="D7817" s="4"/>
      <c r="E7817" s="4"/>
      <c r="F7817" s="4"/>
    </row>
    <row r="7818" spans="1:6" x14ac:dyDescent="0.4">
      <c r="A7818" s="4"/>
      <c r="B7818" s="4"/>
      <c r="D7818" s="4"/>
      <c r="E7818" s="4"/>
      <c r="F7818" s="4"/>
    </row>
    <row r="7819" spans="1:6" x14ac:dyDescent="0.4">
      <c r="A7819" s="4"/>
      <c r="B7819" s="4"/>
      <c r="D7819" s="4"/>
      <c r="E7819" s="4"/>
      <c r="F7819" s="4"/>
    </row>
    <row r="7820" spans="1:6" x14ac:dyDescent="0.4">
      <c r="A7820" s="4"/>
      <c r="B7820" s="4"/>
      <c r="D7820" s="4"/>
      <c r="E7820" s="4"/>
      <c r="F7820" s="4"/>
    </row>
    <row r="7821" spans="1:6" x14ac:dyDescent="0.4">
      <c r="A7821" s="4"/>
      <c r="B7821" s="4"/>
      <c r="D7821" s="4"/>
      <c r="E7821" s="4"/>
      <c r="F7821" s="4"/>
    </row>
    <row r="7822" spans="1:6" x14ac:dyDescent="0.4">
      <c r="A7822" s="4"/>
      <c r="B7822" s="4"/>
      <c r="D7822" s="4"/>
      <c r="E7822" s="4"/>
      <c r="F7822" s="4"/>
    </row>
    <row r="7823" spans="1:6" x14ac:dyDescent="0.4">
      <c r="A7823" s="4"/>
      <c r="B7823" s="4"/>
      <c r="D7823" s="4"/>
      <c r="E7823" s="4"/>
      <c r="F7823" s="4"/>
    </row>
    <row r="7824" spans="1:6" x14ac:dyDescent="0.4">
      <c r="A7824" s="4"/>
      <c r="B7824" s="4"/>
      <c r="D7824" s="4"/>
      <c r="E7824" s="4"/>
      <c r="F7824" s="4"/>
    </row>
    <row r="7825" spans="1:6" x14ac:dyDescent="0.4">
      <c r="A7825" s="4"/>
      <c r="B7825" s="4"/>
      <c r="D7825" s="4"/>
      <c r="E7825" s="4"/>
      <c r="F7825" s="4"/>
    </row>
    <row r="7826" spans="1:6" x14ac:dyDescent="0.4">
      <c r="A7826" s="4"/>
      <c r="B7826" s="4"/>
      <c r="D7826" s="4"/>
      <c r="E7826" s="4"/>
      <c r="F7826" s="4"/>
    </row>
    <row r="7827" spans="1:6" x14ac:dyDescent="0.4">
      <c r="A7827" s="4"/>
      <c r="B7827" s="4"/>
      <c r="D7827" s="4"/>
      <c r="E7827" s="4"/>
      <c r="F7827" s="4"/>
    </row>
    <row r="7828" spans="1:6" x14ac:dyDescent="0.4">
      <c r="A7828" s="4"/>
      <c r="B7828" s="4"/>
      <c r="D7828" s="4"/>
      <c r="E7828" s="4"/>
      <c r="F7828" s="4"/>
    </row>
    <row r="7829" spans="1:6" x14ac:dyDescent="0.4">
      <c r="A7829" s="4"/>
      <c r="B7829" s="4"/>
      <c r="D7829" s="4"/>
      <c r="E7829" s="4"/>
      <c r="F7829" s="4"/>
    </row>
    <row r="7830" spans="1:6" x14ac:dyDescent="0.4">
      <c r="A7830" s="4"/>
      <c r="B7830" s="4"/>
      <c r="D7830" s="4"/>
      <c r="E7830" s="4"/>
      <c r="F7830" s="4"/>
    </row>
    <row r="7831" spans="1:6" x14ac:dyDescent="0.4">
      <c r="A7831" s="4"/>
      <c r="B7831" s="4"/>
      <c r="D7831" s="4"/>
      <c r="E7831" s="4"/>
      <c r="F7831" s="4"/>
    </row>
    <row r="7832" spans="1:6" x14ac:dyDescent="0.4">
      <c r="A7832" s="4"/>
      <c r="B7832" s="4"/>
      <c r="D7832" s="4"/>
      <c r="E7832" s="4"/>
      <c r="F7832" s="4"/>
    </row>
    <row r="7833" spans="1:6" x14ac:dyDescent="0.4">
      <c r="A7833" s="4"/>
      <c r="B7833" s="4"/>
      <c r="D7833" s="4"/>
      <c r="E7833" s="4"/>
      <c r="F7833" s="4"/>
    </row>
    <row r="7834" spans="1:6" x14ac:dyDescent="0.4">
      <c r="A7834" s="4"/>
      <c r="B7834" s="4"/>
      <c r="D7834" s="4"/>
      <c r="E7834" s="4"/>
      <c r="F7834" s="4"/>
    </row>
    <row r="7835" spans="1:6" x14ac:dyDescent="0.4">
      <c r="A7835" s="4"/>
      <c r="B7835" s="4"/>
      <c r="D7835" s="4"/>
      <c r="E7835" s="4"/>
      <c r="F7835" s="4"/>
    </row>
    <row r="7836" spans="1:6" x14ac:dyDescent="0.4">
      <c r="A7836" s="4"/>
      <c r="B7836" s="4"/>
      <c r="D7836" s="4"/>
      <c r="E7836" s="4"/>
      <c r="F7836" s="4"/>
    </row>
    <row r="7837" spans="1:6" x14ac:dyDescent="0.4">
      <c r="A7837" s="4"/>
      <c r="B7837" s="4"/>
      <c r="D7837" s="4"/>
      <c r="E7837" s="4"/>
      <c r="F7837" s="4"/>
    </row>
    <row r="7838" spans="1:6" x14ac:dyDescent="0.4">
      <c r="A7838" s="4"/>
      <c r="B7838" s="4"/>
      <c r="D7838" s="4"/>
      <c r="E7838" s="4"/>
      <c r="F7838" s="4"/>
    </row>
    <row r="7839" spans="1:6" x14ac:dyDescent="0.4">
      <c r="A7839" s="4"/>
      <c r="B7839" s="4"/>
      <c r="D7839" s="4"/>
      <c r="E7839" s="4"/>
      <c r="F7839" s="4"/>
    </row>
    <row r="7840" spans="1:6" x14ac:dyDescent="0.4">
      <c r="A7840" s="4"/>
      <c r="B7840" s="4"/>
      <c r="D7840" s="4"/>
      <c r="E7840" s="4"/>
      <c r="F7840" s="4"/>
    </row>
    <row r="7841" spans="1:6" x14ac:dyDescent="0.4">
      <c r="A7841" s="4"/>
      <c r="B7841" s="4"/>
      <c r="D7841" s="4"/>
      <c r="E7841" s="4"/>
      <c r="F7841" s="4"/>
    </row>
    <row r="7842" spans="1:6" x14ac:dyDescent="0.4">
      <c r="A7842" s="4"/>
      <c r="B7842" s="4"/>
      <c r="D7842" s="4"/>
      <c r="E7842" s="4"/>
      <c r="F7842" s="4"/>
    </row>
    <row r="7843" spans="1:6" x14ac:dyDescent="0.4">
      <c r="A7843" s="4"/>
      <c r="B7843" s="4"/>
      <c r="D7843" s="4"/>
      <c r="E7843" s="4"/>
      <c r="F7843" s="4"/>
    </row>
    <row r="7844" spans="1:6" x14ac:dyDescent="0.4">
      <c r="A7844" s="4"/>
      <c r="B7844" s="4"/>
      <c r="D7844" s="4"/>
      <c r="E7844" s="4"/>
      <c r="F7844" s="4"/>
    </row>
    <row r="7845" spans="1:6" x14ac:dyDescent="0.4">
      <c r="A7845" s="4"/>
      <c r="B7845" s="4"/>
      <c r="D7845" s="4"/>
      <c r="E7845" s="4"/>
      <c r="F7845" s="4"/>
    </row>
    <row r="7846" spans="1:6" x14ac:dyDescent="0.4">
      <c r="A7846" s="4"/>
      <c r="B7846" s="4"/>
      <c r="D7846" s="4"/>
      <c r="E7846" s="4"/>
      <c r="F7846" s="4"/>
    </row>
    <row r="7847" spans="1:6" x14ac:dyDescent="0.4">
      <c r="A7847" s="4"/>
      <c r="B7847" s="4"/>
      <c r="D7847" s="4"/>
      <c r="E7847" s="4"/>
      <c r="F7847" s="4"/>
    </row>
    <row r="7848" spans="1:6" x14ac:dyDescent="0.4">
      <c r="A7848" s="4"/>
      <c r="B7848" s="4"/>
      <c r="D7848" s="4"/>
      <c r="E7848" s="4"/>
      <c r="F7848" s="4"/>
    </row>
    <row r="7849" spans="1:6" x14ac:dyDescent="0.4">
      <c r="A7849" s="4"/>
      <c r="B7849" s="4"/>
      <c r="D7849" s="4"/>
      <c r="E7849" s="4"/>
      <c r="F7849" s="4"/>
    </row>
    <row r="7850" spans="1:6" x14ac:dyDescent="0.4">
      <c r="A7850" s="4"/>
      <c r="B7850" s="4"/>
      <c r="D7850" s="4"/>
      <c r="E7850" s="4"/>
      <c r="F7850" s="4"/>
    </row>
    <row r="7851" spans="1:6" x14ac:dyDescent="0.4">
      <c r="A7851" s="4"/>
      <c r="B7851" s="4"/>
      <c r="D7851" s="4"/>
      <c r="E7851" s="4"/>
      <c r="F7851" s="4"/>
    </row>
    <row r="7852" spans="1:6" x14ac:dyDescent="0.4">
      <c r="A7852" s="4"/>
      <c r="B7852" s="4"/>
      <c r="D7852" s="4"/>
      <c r="E7852" s="4"/>
      <c r="F7852" s="4"/>
    </row>
    <row r="7853" spans="1:6" x14ac:dyDescent="0.4">
      <c r="A7853" s="4"/>
      <c r="B7853" s="4"/>
      <c r="D7853" s="4"/>
      <c r="E7853" s="4"/>
      <c r="F7853" s="4"/>
    </row>
    <row r="7854" spans="1:6" x14ac:dyDescent="0.4">
      <c r="A7854" s="4"/>
      <c r="B7854" s="4"/>
      <c r="D7854" s="4"/>
      <c r="E7854" s="4"/>
      <c r="F7854" s="4"/>
    </row>
    <row r="7855" spans="1:6" x14ac:dyDescent="0.4">
      <c r="A7855" s="4"/>
      <c r="B7855" s="4"/>
      <c r="D7855" s="4"/>
      <c r="E7855" s="4"/>
      <c r="F7855" s="4"/>
    </row>
    <row r="7856" spans="1:6" x14ac:dyDescent="0.4">
      <c r="A7856" s="4"/>
      <c r="B7856" s="4"/>
      <c r="D7856" s="4"/>
      <c r="E7856" s="4"/>
      <c r="F7856" s="4"/>
    </row>
    <row r="7857" spans="1:6" x14ac:dyDescent="0.4">
      <c r="A7857" s="4"/>
      <c r="B7857" s="4"/>
      <c r="D7857" s="4"/>
      <c r="E7857" s="4"/>
      <c r="F7857" s="4"/>
    </row>
    <row r="7858" spans="1:6" x14ac:dyDescent="0.4">
      <c r="A7858" s="4"/>
      <c r="B7858" s="4"/>
      <c r="D7858" s="4"/>
      <c r="E7858" s="4"/>
      <c r="F7858" s="4"/>
    </row>
    <row r="7859" spans="1:6" x14ac:dyDescent="0.4">
      <c r="A7859" s="4"/>
      <c r="B7859" s="4"/>
      <c r="D7859" s="4"/>
      <c r="E7859" s="4"/>
      <c r="F7859" s="4"/>
    </row>
    <row r="7860" spans="1:6" x14ac:dyDescent="0.4">
      <c r="A7860" s="4"/>
      <c r="B7860" s="4"/>
      <c r="D7860" s="4"/>
      <c r="E7860" s="4"/>
      <c r="F7860" s="4"/>
    </row>
    <row r="7861" spans="1:6" x14ac:dyDescent="0.4">
      <c r="A7861" s="4"/>
      <c r="B7861" s="4"/>
      <c r="D7861" s="4"/>
      <c r="E7861" s="4"/>
      <c r="F7861" s="4"/>
    </row>
    <row r="7862" spans="1:6" x14ac:dyDescent="0.4">
      <c r="A7862" s="4"/>
      <c r="B7862" s="4"/>
      <c r="D7862" s="4"/>
      <c r="E7862" s="4"/>
      <c r="F7862" s="4"/>
    </row>
    <row r="7863" spans="1:6" x14ac:dyDescent="0.4">
      <c r="A7863" s="4"/>
      <c r="B7863" s="4"/>
      <c r="D7863" s="4"/>
      <c r="E7863" s="4"/>
      <c r="F7863" s="4"/>
    </row>
    <row r="7864" spans="1:6" x14ac:dyDescent="0.4">
      <c r="A7864" s="4"/>
      <c r="B7864" s="4"/>
      <c r="D7864" s="4"/>
      <c r="E7864" s="4"/>
      <c r="F7864" s="4"/>
    </row>
    <row r="7865" spans="1:6" x14ac:dyDescent="0.4">
      <c r="A7865" s="4"/>
      <c r="B7865" s="4"/>
      <c r="D7865" s="4"/>
      <c r="E7865" s="4"/>
      <c r="F7865" s="4"/>
    </row>
    <row r="7866" spans="1:6" x14ac:dyDescent="0.4">
      <c r="A7866" s="4"/>
      <c r="B7866" s="4"/>
      <c r="D7866" s="4"/>
      <c r="E7866" s="4"/>
      <c r="F7866" s="4"/>
    </row>
    <row r="7867" spans="1:6" x14ac:dyDescent="0.4">
      <c r="A7867" s="4"/>
      <c r="B7867" s="4"/>
      <c r="D7867" s="4"/>
      <c r="E7867" s="4"/>
      <c r="F7867" s="4"/>
    </row>
    <row r="7868" spans="1:6" x14ac:dyDescent="0.4">
      <c r="A7868" s="4"/>
      <c r="B7868" s="4"/>
      <c r="D7868" s="4"/>
      <c r="E7868" s="4"/>
      <c r="F7868" s="4"/>
    </row>
    <row r="7869" spans="1:6" x14ac:dyDescent="0.4">
      <c r="A7869" s="4"/>
      <c r="B7869" s="4"/>
      <c r="D7869" s="4"/>
      <c r="E7869" s="4"/>
      <c r="F7869" s="4"/>
    </row>
    <row r="7870" spans="1:6" x14ac:dyDescent="0.4">
      <c r="A7870" s="4"/>
      <c r="B7870" s="4"/>
      <c r="D7870" s="4"/>
      <c r="E7870" s="4"/>
      <c r="F7870" s="4"/>
    </row>
    <row r="7871" spans="1:6" x14ac:dyDescent="0.4">
      <c r="A7871" s="4"/>
      <c r="B7871" s="4"/>
      <c r="D7871" s="4"/>
      <c r="E7871" s="4"/>
      <c r="F7871" s="4"/>
    </row>
    <row r="7872" spans="1:6" x14ac:dyDescent="0.4">
      <c r="A7872" s="4"/>
      <c r="B7872" s="4"/>
      <c r="D7872" s="4"/>
      <c r="E7872" s="4"/>
      <c r="F7872" s="4"/>
    </row>
    <row r="7873" spans="1:6" x14ac:dyDescent="0.4">
      <c r="A7873" s="4"/>
      <c r="B7873" s="4"/>
      <c r="D7873" s="4"/>
      <c r="E7873" s="4"/>
      <c r="F7873" s="4"/>
    </row>
    <row r="7874" spans="1:6" x14ac:dyDescent="0.4">
      <c r="A7874" s="4"/>
      <c r="B7874" s="4"/>
      <c r="D7874" s="4"/>
      <c r="E7874" s="4"/>
      <c r="F7874" s="4"/>
    </row>
    <row r="7875" spans="1:6" x14ac:dyDescent="0.4">
      <c r="A7875" s="4"/>
      <c r="B7875" s="4"/>
      <c r="D7875" s="4"/>
      <c r="E7875" s="4"/>
      <c r="F7875" s="4"/>
    </row>
    <row r="7876" spans="1:6" x14ac:dyDescent="0.4">
      <c r="A7876" s="4"/>
      <c r="B7876" s="4"/>
      <c r="D7876" s="4"/>
      <c r="E7876" s="4"/>
      <c r="F7876" s="4"/>
    </row>
    <row r="7877" spans="1:6" x14ac:dyDescent="0.4">
      <c r="A7877" s="4"/>
      <c r="B7877" s="4"/>
      <c r="D7877" s="4"/>
      <c r="E7877" s="4"/>
      <c r="F7877" s="4"/>
    </row>
    <row r="7878" spans="1:6" x14ac:dyDescent="0.4">
      <c r="A7878" s="4"/>
      <c r="B7878" s="4"/>
      <c r="D7878" s="4"/>
      <c r="E7878" s="4"/>
      <c r="F7878" s="4"/>
    </row>
    <row r="7879" spans="1:6" x14ac:dyDescent="0.4">
      <c r="A7879" s="4"/>
      <c r="B7879" s="4"/>
      <c r="D7879" s="4"/>
      <c r="E7879" s="4"/>
      <c r="F7879" s="4"/>
    </row>
    <row r="7880" spans="1:6" x14ac:dyDescent="0.4">
      <c r="A7880" s="4"/>
      <c r="B7880" s="4"/>
      <c r="D7880" s="4"/>
      <c r="E7880" s="4"/>
      <c r="F7880" s="4"/>
    </row>
    <row r="7881" spans="1:6" x14ac:dyDescent="0.4">
      <c r="A7881" s="4"/>
      <c r="B7881" s="4"/>
      <c r="D7881" s="4"/>
      <c r="E7881" s="4"/>
      <c r="F7881" s="4"/>
    </row>
    <row r="7882" spans="1:6" x14ac:dyDescent="0.4">
      <c r="A7882" s="4"/>
      <c r="B7882" s="4"/>
      <c r="D7882" s="4"/>
      <c r="E7882" s="4"/>
      <c r="F7882" s="4"/>
    </row>
    <row r="7883" spans="1:6" x14ac:dyDescent="0.4">
      <c r="A7883" s="4"/>
      <c r="B7883" s="4"/>
      <c r="D7883" s="4"/>
      <c r="E7883" s="4"/>
      <c r="F7883" s="4"/>
    </row>
    <row r="7884" spans="1:6" x14ac:dyDescent="0.4">
      <c r="A7884" s="4"/>
      <c r="B7884" s="4"/>
      <c r="D7884" s="4"/>
      <c r="E7884" s="4"/>
      <c r="F7884" s="4"/>
    </row>
    <row r="7885" spans="1:6" x14ac:dyDescent="0.4">
      <c r="A7885" s="4"/>
      <c r="B7885" s="4"/>
      <c r="D7885" s="4"/>
      <c r="E7885" s="4"/>
      <c r="F7885" s="4"/>
    </row>
    <row r="7886" spans="1:6" x14ac:dyDescent="0.4">
      <c r="A7886" s="4"/>
      <c r="B7886" s="4"/>
      <c r="D7886" s="4"/>
      <c r="E7886" s="4"/>
      <c r="F7886" s="4"/>
    </row>
    <row r="7887" spans="1:6" x14ac:dyDescent="0.4">
      <c r="A7887" s="4"/>
      <c r="B7887" s="4"/>
      <c r="D7887" s="4"/>
      <c r="E7887" s="4"/>
      <c r="F7887" s="4"/>
    </row>
    <row r="7888" spans="1:6" x14ac:dyDescent="0.4">
      <c r="A7888" s="4"/>
      <c r="B7888" s="4"/>
      <c r="D7888" s="4"/>
      <c r="E7888" s="4"/>
      <c r="F7888" s="4"/>
    </row>
    <row r="7889" spans="1:6" x14ac:dyDescent="0.4">
      <c r="A7889" s="4"/>
      <c r="B7889" s="4"/>
      <c r="D7889" s="4"/>
      <c r="E7889" s="4"/>
      <c r="F7889" s="4"/>
    </row>
    <row r="7890" spans="1:6" x14ac:dyDescent="0.4">
      <c r="A7890" s="4"/>
      <c r="B7890" s="4"/>
      <c r="D7890" s="4"/>
      <c r="E7890" s="4"/>
      <c r="F7890" s="4"/>
    </row>
    <row r="7891" spans="1:6" x14ac:dyDescent="0.4">
      <c r="A7891" s="4"/>
      <c r="B7891" s="4"/>
      <c r="D7891" s="4"/>
      <c r="E7891" s="4"/>
      <c r="F7891" s="4"/>
    </row>
    <row r="7892" spans="1:6" x14ac:dyDescent="0.4">
      <c r="A7892" s="4"/>
      <c r="B7892" s="4"/>
      <c r="D7892" s="4"/>
      <c r="E7892" s="4"/>
      <c r="F7892" s="4"/>
    </row>
    <row r="7893" spans="1:6" x14ac:dyDescent="0.4">
      <c r="A7893" s="4"/>
      <c r="B7893" s="4"/>
      <c r="D7893" s="4"/>
      <c r="E7893" s="4"/>
      <c r="F7893" s="4"/>
    </row>
    <row r="7894" spans="1:6" x14ac:dyDescent="0.4">
      <c r="A7894" s="4"/>
      <c r="B7894" s="4"/>
      <c r="D7894" s="4"/>
      <c r="E7894" s="4"/>
      <c r="F7894" s="4"/>
    </row>
    <row r="7895" spans="1:6" x14ac:dyDescent="0.4">
      <c r="A7895" s="4"/>
      <c r="B7895" s="4"/>
      <c r="D7895" s="4"/>
      <c r="E7895" s="4"/>
      <c r="F7895" s="4"/>
    </row>
    <row r="7896" spans="1:6" x14ac:dyDescent="0.4">
      <c r="A7896" s="4"/>
      <c r="B7896" s="4"/>
      <c r="D7896" s="4"/>
      <c r="E7896" s="4"/>
      <c r="F7896" s="4"/>
    </row>
    <row r="7897" spans="1:6" x14ac:dyDescent="0.4">
      <c r="A7897" s="4"/>
      <c r="B7897" s="4"/>
      <c r="D7897" s="4"/>
      <c r="E7897" s="4"/>
      <c r="F7897" s="4"/>
    </row>
    <row r="7898" spans="1:6" x14ac:dyDescent="0.4">
      <c r="A7898" s="4"/>
      <c r="B7898" s="4"/>
      <c r="D7898" s="4"/>
      <c r="E7898" s="4"/>
      <c r="F7898" s="4"/>
    </row>
    <row r="7899" spans="1:6" x14ac:dyDescent="0.4">
      <c r="A7899" s="4"/>
      <c r="B7899" s="4"/>
      <c r="D7899" s="4"/>
      <c r="E7899" s="4"/>
      <c r="F7899" s="4"/>
    </row>
    <row r="7900" spans="1:6" x14ac:dyDescent="0.4">
      <c r="A7900" s="4"/>
      <c r="B7900" s="4"/>
      <c r="D7900" s="4"/>
      <c r="E7900" s="4"/>
      <c r="F7900" s="4"/>
    </row>
    <row r="7901" spans="1:6" x14ac:dyDescent="0.4">
      <c r="A7901" s="4"/>
      <c r="B7901" s="4"/>
      <c r="D7901" s="4"/>
      <c r="E7901" s="4"/>
      <c r="F7901" s="4"/>
    </row>
    <row r="7902" spans="1:6" x14ac:dyDescent="0.4">
      <c r="A7902" s="4"/>
      <c r="B7902" s="4"/>
      <c r="D7902" s="4"/>
      <c r="E7902" s="4"/>
      <c r="F7902" s="4"/>
    </row>
    <row r="7903" spans="1:6" x14ac:dyDescent="0.4">
      <c r="A7903" s="4"/>
      <c r="B7903" s="4"/>
      <c r="D7903" s="4"/>
      <c r="E7903" s="4"/>
      <c r="F7903" s="4"/>
    </row>
    <row r="7904" spans="1:6" x14ac:dyDescent="0.4">
      <c r="A7904" s="4"/>
      <c r="B7904" s="4"/>
      <c r="D7904" s="4"/>
      <c r="E7904" s="4"/>
      <c r="F7904" s="4"/>
    </row>
    <row r="7905" spans="1:6" x14ac:dyDescent="0.4">
      <c r="A7905" s="4"/>
      <c r="B7905" s="4"/>
      <c r="D7905" s="4"/>
      <c r="E7905" s="4"/>
      <c r="F7905" s="4"/>
    </row>
    <row r="7906" spans="1:6" x14ac:dyDescent="0.4">
      <c r="A7906" s="4"/>
      <c r="B7906" s="4"/>
      <c r="D7906" s="4"/>
      <c r="E7906" s="4"/>
      <c r="F7906" s="4"/>
    </row>
    <row r="7907" spans="1:6" x14ac:dyDescent="0.4">
      <c r="A7907" s="4"/>
      <c r="B7907" s="4"/>
      <c r="D7907" s="4"/>
      <c r="E7907" s="4"/>
      <c r="F7907" s="4"/>
    </row>
    <row r="7908" spans="1:6" x14ac:dyDescent="0.4">
      <c r="A7908" s="4"/>
      <c r="B7908" s="4"/>
      <c r="D7908" s="4"/>
      <c r="E7908" s="4"/>
      <c r="F7908" s="4"/>
    </row>
    <row r="7909" spans="1:6" x14ac:dyDescent="0.4">
      <c r="A7909" s="4"/>
      <c r="B7909" s="4"/>
      <c r="D7909" s="4"/>
      <c r="E7909" s="4"/>
      <c r="F7909" s="4"/>
    </row>
    <row r="7910" spans="1:6" x14ac:dyDescent="0.4">
      <c r="A7910" s="4"/>
      <c r="B7910" s="4"/>
      <c r="D7910" s="4"/>
      <c r="E7910" s="4"/>
      <c r="F7910" s="4"/>
    </row>
    <row r="7911" spans="1:6" x14ac:dyDescent="0.4">
      <c r="A7911" s="4"/>
      <c r="B7911" s="4"/>
      <c r="D7911" s="4"/>
      <c r="E7911" s="4"/>
      <c r="F7911" s="4"/>
    </row>
    <row r="7912" spans="1:6" x14ac:dyDescent="0.4">
      <c r="A7912" s="4"/>
      <c r="B7912" s="4"/>
      <c r="D7912" s="4"/>
      <c r="E7912" s="4"/>
      <c r="F7912" s="4"/>
    </row>
    <row r="7913" spans="1:6" x14ac:dyDescent="0.4">
      <c r="A7913" s="4"/>
      <c r="B7913" s="4"/>
      <c r="D7913" s="4"/>
      <c r="E7913" s="4"/>
      <c r="F7913" s="4"/>
    </row>
    <row r="7914" spans="1:6" x14ac:dyDescent="0.4">
      <c r="A7914" s="4"/>
      <c r="B7914" s="4"/>
      <c r="D7914" s="4"/>
      <c r="E7914" s="4"/>
      <c r="F7914" s="4"/>
    </row>
    <row r="7915" spans="1:6" x14ac:dyDescent="0.4">
      <c r="A7915" s="4"/>
      <c r="B7915" s="4"/>
      <c r="D7915" s="4"/>
      <c r="E7915" s="4"/>
      <c r="F7915" s="4"/>
    </row>
    <row r="7916" spans="1:6" x14ac:dyDescent="0.4">
      <c r="A7916" s="4"/>
      <c r="B7916" s="4"/>
      <c r="D7916" s="4"/>
      <c r="E7916" s="4"/>
      <c r="F7916" s="4"/>
    </row>
    <row r="7917" spans="1:6" x14ac:dyDescent="0.4">
      <c r="A7917" s="4"/>
      <c r="B7917" s="4"/>
      <c r="D7917" s="4"/>
      <c r="E7917" s="4"/>
      <c r="F7917" s="4"/>
    </row>
    <row r="7918" spans="1:6" x14ac:dyDescent="0.4">
      <c r="A7918" s="4"/>
      <c r="B7918" s="4"/>
      <c r="D7918" s="4"/>
      <c r="E7918" s="4"/>
      <c r="F7918" s="4"/>
    </row>
    <row r="7919" spans="1:6" x14ac:dyDescent="0.4">
      <c r="A7919" s="4"/>
      <c r="B7919" s="4"/>
      <c r="D7919" s="4"/>
      <c r="E7919" s="4"/>
      <c r="F7919" s="4"/>
    </row>
    <row r="7920" spans="1:6" x14ac:dyDescent="0.4">
      <c r="A7920" s="4"/>
      <c r="B7920" s="4"/>
      <c r="D7920" s="4"/>
      <c r="E7920" s="4"/>
      <c r="F7920" s="4"/>
    </row>
    <row r="7921" spans="1:6" x14ac:dyDescent="0.4">
      <c r="A7921" s="4"/>
      <c r="B7921" s="4"/>
      <c r="D7921" s="4"/>
      <c r="E7921" s="4"/>
      <c r="F7921" s="4"/>
    </row>
    <row r="7922" spans="1:6" x14ac:dyDescent="0.4">
      <c r="A7922" s="4"/>
      <c r="B7922" s="4"/>
      <c r="D7922" s="4"/>
      <c r="E7922" s="4"/>
      <c r="F7922" s="4"/>
    </row>
    <row r="7923" spans="1:6" x14ac:dyDescent="0.4">
      <c r="A7923" s="4"/>
      <c r="B7923" s="4"/>
      <c r="D7923" s="4"/>
      <c r="E7923" s="4"/>
      <c r="F7923" s="4"/>
    </row>
    <row r="7924" spans="1:6" x14ac:dyDescent="0.4">
      <c r="A7924" s="4"/>
      <c r="B7924" s="4"/>
      <c r="D7924" s="4"/>
      <c r="E7924" s="4"/>
      <c r="F7924" s="4"/>
    </row>
    <row r="7925" spans="1:6" x14ac:dyDescent="0.4">
      <c r="A7925" s="4"/>
      <c r="B7925" s="4"/>
      <c r="D7925" s="4"/>
      <c r="E7925" s="4"/>
      <c r="F7925" s="4"/>
    </row>
    <row r="7926" spans="1:6" x14ac:dyDescent="0.4">
      <c r="A7926" s="4"/>
      <c r="B7926" s="4"/>
      <c r="D7926" s="4"/>
      <c r="E7926" s="4"/>
      <c r="F7926" s="4"/>
    </row>
    <row r="7927" spans="1:6" x14ac:dyDescent="0.4">
      <c r="A7927" s="4"/>
      <c r="B7927" s="4"/>
      <c r="D7927" s="4"/>
      <c r="E7927" s="4"/>
      <c r="F7927" s="4"/>
    </row>
    <row r="7928" spans="1:6" x14ac:dyDescent="0.4">
      <c r="A7928" s="4"/>
      <c r="B7928" s="4"/>
      <c r="D7928" s="4"/>
      <c r="E7928" s="4"/>
      <c r="F7928" s="4"/>
    </row>
    <row r="7929" spans="1:6" x14ac:dyDescent="0.4">
      <c r="A7929" s="4"/>
      <c r="B7929" s="4"/>
      <c r="D7929" s="4"/>
      <c r="E7929" s="4"/>
      <c r="F7929" s="4"/>
    </row>
    <row r="7930" spans="1:6" x14ac:dyDescent="0.4">
      <c r="A7930" s="4"/>
      <c r="B7930" s="4"/>
      <c r="D7930" s="4"/>
      <c r="E7930" s="4"/>
      <c r="F7930" s="4"/>
    </row>
    <row r="7931" spans="1:6" x14ac:dyDescent="0.4">
      <c r="A7931" s="4"/>
      <c r="B7931" s="4"/>
      <c r="D7931" s="4"/>
      <c r="E7931" s="4"/>
      <c r="F7931" s="4"/>
    </row>
    <row r="7932" spans="1:6" x14ac:dyDescent="0.4">
      <c r="A7932" s="4"/>
      <c r="B7932" s="4"/>
      <c r="D7932" s="4"/>
      <c r="E7932" s="4"/>
      <c r="F7932" s="4"/>
    </row>
    <row r="7933" spans="1:6" x14ac:dyDescent="0.4">
      <c r="A7933" s="4"/>
      <c r="B7933" s="4"/>
      <c r="D7933" s="4"/>
      <c r="E7933" s="4"/>
      <c r="F7933" s="4"/>
    </row>
    <row r="7934" spans="1:6" x14ac:dyDescent="0.4">
      <c r="A7934" s="4"/>
      <c r="B7934" s="4"/>
      <c r="D7934" s="4"/>
      <c r="E7934" s="4"/>
      <c r="F7934" s="4"/>
    </row>
    <row r="7935" spans="1:6" x14ac:dyDescent="0.4">
      <c r="A7935" s="4"/>
      <c r="B7935" s="4"/>
      <c r="D7935" s="4"/>
      <c r="E7935" s="4"/>
      <c r="F7935" s="4"/>
    </row>
    <row r="7936" spans="1:6" x14ac:dyDescent="0.4">
      <c r="A7936" s="4"/>
      <c r="B7936" s="4"/>
      <c r="D7936" s="4"/>
      <c r="E7936" s="4"/>
      <c r="F7936" s="4"/>
    </row>
    <row r="7937" spans="1:6" x14ac:dyDescent="0.4">
      <c r="A7937" s="4"/>
      <c r="B7937" s="4"/>
      <c r="D7937" s="4"/>
      <c r="E7937" s="4"/>
      <c r="F7937" s="4"/>
    </row>
    <row r="7938" spans="1:6" x14ac:dyDescent="0.4">
      <c r="A7938" s="4"/>
      <c r="B7938" s="4"/>
      <c r="D7938" s="4"/>
      <c r="E7938" s="4"/>
      <c r="F7938" s="4"/>
    </row>
    <row r="7939" spans="1:6" x14ac:dyDescent="0.4">
      <c r="A7939" s="4"/>
      <c r="B7939" s="4"/>
      <c r="D7939" s="4"/>
      <c r="E7939" s="4"/>
      <c r="F7939" s="4"/>
    </row>
    <row r="7940" spans="1:6" x14ac:dyDescent="0.4">
      <c r="A7940" s="4"/>
      <c r="B7940" s="4"/>
      <c r="D7940" s="4"/>
      <c r="E7940" s="4"/>
      <c r="F7940" s="4"/>
    </row>
    <row r="7941" spans="1:6" x14ac:dyDescent="0.4">
      <c r="A7941" s="4"/>
      <c r="B7941" s="4"/>
      <c r="D7941" s="4"/>
      <c r="E7941" s="4"/>
      <c r="F7941" s="4"/>
    </row>
    <row r="7942" spans="1:6" x14ac:dyDescent="0.4">
      <c r="A7942" s="4"/>
      <c r="B7942" s="4"/>
      <c r="D7942" s="4"/>
      <c r="E7942" s="4"/>
      <c r="F7942" s="4"/>
    </row>
    <row r="7943" spans="1:6" x14ac:dyDescent="0.4">
      <c r="A7943" s="4"/>
      <c r="B7943" s="4"/>
      <c r="D7943" s="4"/>
      <c r="E7943" s="4"/>
      <c r="F7943" s="4"/>
    </row>
    <row r="7944" spans="1:6" x14ac:dyDescent="0.4">
      <c r="A7944" s="4"/>
      <c r="B7944" s="4"/>
      <c r="D7944" s="4"/>
      <c r="E7944" s="4"/>
      <c r="F7944" s="4"/>
    </row>
    <row r="7945" spans="1:6" x14ac:dyDescent="0.4">
      <c r="A7945" s="4"/>
      <c r="B7945" s="4"/>
      <c r="D7945" s="4"/>
      <c r="E7945" s="4"/>
      <c r="F7945" s="4"/>
    </row>
    <row r="7946" spans="1:6" x14ac:dyDescent="0.4">
      <c r="A7946" s="4"/>
      <c r="B7946" s="4"/>
      <c r="D7946" s="4"/>
      <c r="E7946" s="4"/>
      <c r="F7946" s="4"/>
    </row>
    <row r="7947" spans="1:6" x14ac:dyDescent="0.4">
      <c r="A7947" s="4"/>
      <c r="B7947" s="4"/>
      <c r="D7947" s="4"/>
      <c r="E7947" s="4"/>
      <c r="F7947" s="4"/>
    </row>
    <row r="7948" spans="1:6" x14ac:dyDescent="0.4">
      <c r="A7948" s="4"/>
      <c r="B7948" s="4"/>
      <c r="D7948" s="4"/>
      <c r="E7948" s="4"/>
      <c r="F7948" s="4"/>
    </row>
    <row r="7949" spans="1:6" x14ac:dyDescent="0.4">
      <c r="A7949" s="4"/>
      <c r="B7949" s="4"/>
      <c r="D7949" s="4"/>
      <c r="E7949" s="4"/>
      <c r="F7949" s="4"/>
    </row>
    <row r="7950" spans="1:6" x14ac:dyDescent="0.4">
      <c r="A7950" s="4"/>
      <c r="B7950" s="4"/>
      <c r="D7950" s="4"/>
      <c r="E7950" s="4"/>
      <c r="F7950" s="4"/>
    </row>
    <row r="7951" spans="1:6" x14ac:dyDescent="0.4">
      <c r="A7951" s="4"/>
      <c r="B7951" s="4"/>
      <c r="D7951" s="4"/>
      <c r="E7951" s="4"/>
      <c r="F7951" s="4"/>
    </row>
    <row r="7952" spans="1:6" x14ac:dyDescent="0.4">
      <c r="A7952" s="4"/>
      <c r="B7952" s="4"/>
      <c r="D7952" s="4"/>
      <c r="E7952" s="4"/>
      <c r="F7952" s="4"/>
    </row>
    <row r="7953" spans="1:6" x14ac:dyDescent="0.4">
      <c r="A7953" s="4"/>
      <c r="B7953" s="4"/>
      <c r="D7953" s="4"/>
      <c r="E7953" s="4"/>
      <c r="F7953" s="4"/>
    </row>
    <row r="7954" spans="1:6" x14ac:dyDescent="0.4">
      <c r="A7954" s="4"/>
      <c r="B7954" s="4"/>
      <c r="D7954" s="4"/>
      <c r="E7954" s="4"/>
      <c r="F7954" s="4"/>
    </row>
    <row r="7955" spans="1:6" x14ac:dyDescent="0.4">
      <c r="A7955" s="4"/>
      <c r="B7955" s="4"/>
      <c r="D7955" s="4"/>
      <c r="E7955" s="4"/>
      <c r="F7955" s="4"/>
    </row>
    <row r="7956" spans="1:6" x14ac:dyDescent="0.4">
      <c r="A7956" s="4"/>
      <c r="B7956" s="4"/>
      <c r="D7956" s="4"/>
      <c r="E7956" s="4"/>
      <c r="F7956" s="4"/>
    </row>
    <row r="7957" spans="1:6" x14ac:dyDescent="0.4">
      <c r="A7957" s="4"/>
      <c r="B7957" s="4"/>
      <c r="D7957" s="4"/>
      <c r="E7957" s="4"/>
      <c r="F7957" s="4"/>
    </row>
    <row r="7958" spans="1:6" x14ac:dyDescent="0.4">
      <c r="A7958" s="4"/>
      <c r="B7958" s="4"/>
      <c r="D7958" s="4"/>
      <c r="E7958" s="4"/>
      <c r="F7958" s="4"/>
    </row>
    <row r="7959" spans="1:6" x14ac:dyDescent="0.4">
      <c r="A7959" s="4"/>
      <c r="B7959" s="4"/>
      <c r="D7959" s="4"/>
      <c r="E7959" s="4"/>
      <c r="F7959" s="4"/>
    </row>
    <row r="7960" spans="1:6" x14ac:dyDescent="0.4">
      <c r="A7960" s="4"/>
      <c r="B7960" s="4"/>
      <c r="D7960" s="4"/>
      <c r="E7960" s="4"/>
      <c r="F7960" s="4"/>
    </row>
    <row r="7961" spans="1:6" x14ac:dyDescent="0.4">
      <c r="A7961" s="4"/>
      <c r="B7961" s="4"/>
      <c r="D7961" s="4"/>
      <c r="E7961" s="4"/>
      <c r="F7961" s="4"/>
    </row>
    <row r="7962" spans="1:6" x14ac:dyDescent="0.4">
      <c r="A7962" s="4"/>
      <c r="B7962" s="4"/>
      <c r="D7962" s="4"/>
      <c r="E7962" s="4"/>
      <c r="F7962" s="4"/>
    </row>
    <row r="7963" spans="1:6" x14ac:dyDescent="0.4">
      <c r="A7963" s="4"/>
      <c r="B7963" s="4"/>
      <c r="D7963" s="4"/>
      <c r="E7963" s="4"/>
      <c r="F7963" s="4"/>
    </row>
    <row r="7964" spans="1:6" x14ac:dyDescent="0.4">
      <c r="A7964" s="4"/>
      <c r="B7964" s="4"/>
      <c r="D7964" s="4"/>
      <c r="E7964" s="4"/>
      <c r="F7964" s="4"/>
    </row>
    <row r="7965" spans="1:6" x14ac:dyDescent="0.4">
      <c r="A7965" s="4"/>
      <c r="B7965" s="4"/>
      <c r="D7965" s="4"/>
      <c r="E7965" s="4"/>
      <c r="F7965" s="4"/>
    </row>
    <row r="7966" spans="1:6" x14ac:dyDescent="0.4">
      <c r="A7966" s="4"/>
      <c r="B7966" s="4"/>
      <c r="D7966" s="4"/>
      <c r="E7966" s="4"/>
      <c r="F7966" s="4"/>
    </row>
    <row r="7967" spans="1:6" x14ac:dyDescent="0.4">
      <c r="A7967" s="4"/>
      <c r="B7967" s="4"/>
      <c r="D7967" s="4"/>
      <c r="E7967" s="4"/>
      <c r="F7967" s="4"/>
    </row>
    <row r="7968" spans="1:6" x14ac:dyDescent="0.4">
      <c r="A7968" s="4"/>
      <c r="B7968" s="4"/>
      <c r="D7968" s="4"/>
      <c r="E7968" s="4"/>
      <c r="F7968" s="4"/>
    </row>
    <row r="7969" spans="1:6" x14ac:dyDescent="0.4">
      <c r="A7969" s="4"/>
      <c r="B7969" s="4"/>
      <c r="D7969" s="4"/>
      <c r="E7969" s="4"/>
      <c r="F7969" s="4"/>
    </row>
    <row r="7970" spans="1:6" x14ac:dyDescent="0.4">
      <c r="A7970" s="4"/>
      <c r="B7970" s="4"/>
      <c r="D7970" s="4"/>
      <c r="E7970" s="4"/>
      <c r="F7970" s="4"/>
    </row>
    <row r="7971" spans="1:6" x14ac:dyDescent="0.4">
      <c r="A7971" s="4"/>
      <c r="B7971" s="4"/>
      <c r="D7971" s="4"/>
      <c r="E7971" s="4"/>
      <c r="F7971" s="4"/>
    </row>
    <row r="7972" spans="1:6" x14ac:dyDescent="0.4">
      <c r="A7972" s="4"/>
      <c r="B7972" s="4"/>
      <c r="D7972" s="4"/>
      <c r="E7972" s="4"/>
      <c r="F7972" s="4"/>
    </row>
    <row r="7973" spans="1:6" x14ac:dyDescent="0.4">
      <c r="A7973" s="4"/>
      <c r="B7973" s="4"/>
      <c r="D7973" s="4"/>
      <c r="E7973" s="4"/>
      <c r="F7973" s="4"/>
    </row>
    <row r="7974" spans="1:6" x14ac:dyDescent="0.4">
      <c r="A7974" s="4"/>
      <c r="B7974" s="4"/>
      <c r="D7974" s="4"/>
      <c r="E7974" s="4"/>
      <c r="F7974" s="4"/>
    </row>
    <row r="7975" spans="1:6" x14ac:dyDescent="0.4">
      <c r="A7975" s="4"/>
      <c r="B7975" s="4"/>
      <c r="D7975" s="4"/>
      <c r="E7975" s="4"/>
      <c r="F7975" s="4"/>
    </row>
    <row r="7976" spans="1:6" x14ac:dyDescent="0.4">
      <c r="A7976" s="4"/>
      <c r="B7976" s="4"/>
      <c r="D7976" s="4"/>
      <c r="E7976" s="4"/>
      <c r="F7976" s="4"/>
    </row>
    <row r="7977" spans="1:6" x14ac:dyDescent="0.4">
      <c r="A7977" s="4"/>
      <c r="B7977" s="4"/>
      <c r="D7977" s="4"/>
      <c r="E7977" s="4"/>
      <c r="F7977" s="4"/>
    </row>
    <row r="7978" spans="1:6" x14ac:dyDescent="0.4">
      <c r="A7978" s="4"/>
      <c r="B7978" s="4"/>
      <c r="D7978" s="4"/>
      <c r="E7978" s="4"/>
      <c r="F7978" s="4"/>
    </row>
    <row r="7979" spans="1:6" x14ac:dyDescent="0.4">
      <c r="A7979" s="4"/>
      <c r="B7979" s="4"/>
      <c r="D7979" s="4"/>
      <c r="E7979" s="4"/>
      <c r="F7979" s="4"/>
    </row>
    <row r="7980" spans="1:6" x14ac:dyDescent="0.4">
      <c r="A7980" s="4"/>
      <c r="B7980" s="4"/>
      <c r="D7980" s="4"/>
      <c r="E7980" s="4"/>
      <c r="F7980" s="4"/>
    </row>
    <row r="7981" spans="1:6" x14ac:dyDescent="0.4">
      <c r="A7981" s="4"/>
      <c r="B7981" s="4"/>
      <c r="D7981" s="4"/>
      <c r="E7981" s="4"/>
      <c r="F7981" s="4"/>
    </row>
    <row r="7982" spans="1:6" x14ac:dyDescent="0.4">
      <c r="A7982" s="4"/>
      <c r="B7982" s="4"/>
      <c r="D7982" s="4"/>
      <c r="E7982" s="4"/>
      <c r="F7982" s="4"/>
    </row>
    <row r="7983" spans="1:6" x14ac:dyDescent="0.4">
      <c r="A7983" s="4"/>
      <c r="B7983" s="4"/>
      <c r="D7983" s="4"/>
      <c r="E7983" s="4"/>
      <c r="F7983" s="4"/>
    </row>
    <row r="7984" spans="1:6" x14ac:dyDescent="0.4">
      <c r="A7984" s="4"/>
      <c r="B7984" s="4"/>
      <c r="D7984" s="4"/>
      <c r="E7984" s="4"/>
      <c r="F7984" s="4"/>
    </row>
    <row r="7985" spans="1:6" x14ac:dyDescent="0.4">
      <c r="A7985" s="4"/>
      <c r="B7985" s="4"/>
      <c r="D7985" s="4"/>
      <c r="E7985" s="4"/>
      <c r="F7985" s="4"/>
    </row>
    <row r="7986" spans="1:6" x14ac:dyDescent="0.4">
      <c r="A7986" s="4"/>
      <c r="B7986" s="4"/>
      <c r="D7986" s="4"/>
      <c r="E7986" s="4"/>
      <c r="F7986" s="4"/>
    </row>
    <row r="7987" spans="1:6" x14ac:dyDescent="0.4">
      <c r="A7987" s="4"/>
      <c r="B7987" s="4"/>
      <c r="D7987" s="4"/>
      <c r="E7987" s="4"/>
      <c r="F7987" s="4"/>
    </row>
    <row r="7988" spans="1:6" x14ac:dyDescent="0.4">
      <c r="A7988" s="4"/>
      <c r="B7988" s="4"/>
      <c r="D7988" s="4"/>
      <c r="E7988" s="4"/>
      <c r="F7988" s="4"/>
    </row>
    <row r="7989" spans="1:6" x14ac:dyDescent="0.4">
      <c r="A7989" s="4"/>
      <c r="B7989" s="4"/>
      <c r="D7989" s="4"/>
      <c r="E7989" s="4"/>
      <c r="F7989" s="4"/>
    </row>
    <row r="7990" spans="1:6" x14ac:dyDescent="0.4">
      <c r="A7990" s="4"/>
      <c r="B7990" s="4"/>
      <c r="D7990" s="4"/>
      <c r="E7990" s="4"/>
      <c r="F7990" s="4"/>
    </row>
    <row r="7991" spans="1:6" x14ac:dyDescent="0.4">
      <c r="A7991" s="4"/>
      <c r="B7991" s="4"/>
      <c r="D7991" s="4"/>
      <c r="E7991" s="4"/>
      <c r="F7991" s="4"/>
    </row>
    <row r="7992" spans="1:6" x14ac:dyDescent="0.4">
      <c r="A7992" s="4"/>
      <c r="B7992" s="4"/>
      <c r="D7992" s="4"/>
      <c r="E7992" s="4"/>
      <c r="F7992" s="4"/>
    </row>
    <row r="7993" spans="1:6" x14ac:dyDescent="0.4">
      <c r="A7993" s="4"/>
      <c r="B7993" s="4"/>
      <c r="D7993" s="4"/>
      <c r="E7993" s="4"/>
      <c r="F7993" s="4"/>
    </row>
    <row r="7994" spans="1:6" x14ac:dyDescent="0.4">
      <c r="A7994" s="4"/>
      <c r="B7994" s="4"/>
      <c r="D7994" s="4"/>
      <c r="E7994" s="4"/>
      <c r="F7994" s="4"/>
    </row>
    <row r="7995" spans="1:6" x14ac:dyDescent="0.4">
      <c r="A7995" s="4"/>
      <c r="B7995" s="4"/>
      <c r="D7995" s="4"/>
      <c r="E7995" s="4"/>
      <c r="F7995" s="4"/>
    </row>
    <row r="7996" spans="1:6" x14ac:dyDescent="0.4">
      <c r="A7996" s="4"/>
      <c r="B7996" s="4"/>
      <c r="D7996" s="4"/>
      <c r="E7996" s="4"/>
      <c r="F7996" s="4"/>
    </row>
    <row r="7997" spans="1:6" x14ac:dyDescent="0.4">
      <c r="A7997" s="4"/>
      <c r="B7997" s="4"/>
      <c r="D7997" s="4"/>
      <c r="E7997" s="4"/>
      <c r="F7997" s="4"/>
    </row>
    <row r="7998" spans="1:6" x14ac:dyDescent="0.4">
      <c r="A7998" s="4"/>
      <c r="B7998" s="4"/>
      <c r="D7998" s="4"/>
      <c r="E7998" s="4"/>
      <c r="F7998" s="4"/>
    </row>
    <row r="7999" spans="1:6" x14ac:dyDescent="0.4">
      <c r="A7999" s="4"/>
      <c r="B7999" s="4"/>
      <c r="D7999" s="4"/>
      <c r="E7999" s="4"/>
      <c r="F7999" s="4"/>
    </row>
    <row r="8000" spans="1:6" x14ac:dyDescent="0.4">
      <c r="A8000" s="4"/>
      <c r="B8000" s="4"/>
      <c r="D8000" s="4"/>
      <c r="E8000" s="4"/>
      <c r="F8000" s="4"/>
    </row>
    <row r="8001" spans="1:6" x14ac:dyDescent="0.4">
      <c r="A8001" s="4"/>
      <c r="B8001" s="4"/>
      <c r="D8001" s="4"/>
      <c r="E8001" s="4"/>
      <c r="F8001" s="4"/>
    </row>
    <row r="8002" spans="1:6" x14ac:dyDescent="0.4">
      <c r="A8002" s="4"/>
      <c r="B8002" s="4"/>
      <c r="D8002" s="4"/>
      <c r="E8002" s="4"/>
      <c r="F8002" s="4"/>
    </row>
    <row r="8003" spans="1:6" x14ac:dyDescent="0.4">
      <c r="A8003" s="4"/>
      <c r="B8003" s="4"/>
      <c r="D8003" s="4"/>
      <c r="E8003" s="4"/>
      <c r="F8003" s="4"/>
    </row>
    <row r="8004" spans="1:6" x14ac:dyDescent="0.4">
      <c r="A8004" s="4"/>
      <c r="B8004" s="4"/>
      <c r="D8004" s="4"/>
      <c r="E8004" s="4"/>
      <c r="F8004" s="4"/>
    </row>
    <row r="8005" spans="1:6" x14ac:dyDescent="0.4">
      <c r="A8005" s="4"/>
      <c r="B8005" s="4"/>
      <c r="D8005" s="4"/>
      <c r="E8005" s="4"/>
      <c r="F8005" s="4"/>
    </row>
    <row r="8006" spans="1:6" x14ac:dyDescent="0.4">
      <c r="A8006" s="4"/>
      <c r="B8006" s="4"/>
      <c r="D8006" s="4"/>
      <c r="E8006" s="4"/>
      <c r="F8006" s="4"/>
    </row>
    <row r="8007" spans="1:6" x14ac:dyDescent="0.4">
      <c r="A8007" s="4"/>
      <c r="B8007" s="4"/>
      <c r="D8007" s="4"/>
      <c r="E8007" s="4"/>
      <c r="F8007" s="4"/>
    </row>
    <row r="8008" spans="1:6" x14ac:dyDescent="0.4">
      <c r="A8008" s="4"/>
      <c r="B8008" s="4"/>
      <c r="D8008" s="4"/>
      <c r="E8008" s="4"/>
      <c r="F8008" s="4"/>
    </row>
    <row r="8009" spans="1:6" x14ac:dyDescent="0.4">
      <c r="A8009" s="4"/>
      <c r="B8009" s="4"/>
      <c r="D8009" s="4"/>
      <c r="E8009" s="4"/>
      <c r="F8009" s="4"/>
    </row>
    <row r="8010" spans="1:6" x14ac:dyDescent="0.4">
      <c r="A8010" s="4"/>
      <c r="B8010" s="4"/>
      <c r="D8010" s="4"/>
      <c r="E8010" s="4"/>
      <c r="F8010" s="4"/>
    </row>
    <row r="8011" spans="1:6" x14ac:dyDescent="0.4">
      <c r="A8011" s="4"/>
      <c r="B8011" s="4"/>
      <c r="D8011" s="4"/>
      <c r="E8011" s="4"/>
      <c r="F8011" s="4"/>
    </row>
    <row r="8012" spans="1:6" x14ac:dyDescent="0.4">
      <c r="A8012" s="4"/>
      <c r="B8012" s="4"/>
      <c r="D8012" s="4"/>
      <c r="E8012" s="4"/>
      <c r="F8012" s="4"/>
    </row>
    <row r="8013" spans="1:6" x14ac:dyDescent="0.4">
      <c r="A8013" s="4"/>
      <c r="B8013" s="4"/>
      <c r="D8013" s="4"/>
      <c r="E8013" s="4"/>
      <c r="F8013" s="4"/>
    </row>
    <row r="8014" spans="1:6" x14ac:dyDescent="0.4">
      <c r="A8014" s="4"/>
      <c r="B8014" s="4"/>
      <c r="D8014" s="4"/>
      <c r="E8014" s="4"/>
      <c r="F8014" s="4"/>
    </row>
    <row r="8015" spans="1:6" x14ac:dyDescent="0.4">
      <c r="A8015" s="4"/>
      <c r="B8015" s="4"/>
      <c r="D8015" s="4"/>
      <c r="E8015" s="4"/>
      <c r="F8015" s="4"/>
    </row>
    <row r="8016" spans="1:6" x14ac:dyDescent="0.4">
      <c r="A8016" s="4"/>
      <c r="B8016" s="4"/>
      <c r="D8016" s="4"/>
      <c r="E8016" s="4"/>
      <c r="F8016" s="4"/>
    </row>
    <row r="8017" spans="1:6" x14ac:dyDescent="0.4">
      <c r="A8017" s="4"/>
      <c r="B8017" s="4"/>
      <c r="D8017" s="4"/>
      <c r="E8017" s="4"/>
      <c r="F8017" s="4"/>
    </row>
    <row r="8018" spans="1:6" x14ac:dyDescent="0.4">
      <c r="A8018" s="4"/>
      <c r="B8018" s="4"/>
      <c r="D8018" s="4"/>
      <c r="E8018" s="4"/>
      <c r="F8018" s="4"/>
    </row>
    <row r="8019" spans="1:6" x14ac:dyDescent="0.4">
      <c r="A8019" s="4"/>
      <c r="B8019" s="4"/>
      <c r="D8019" s="4"/>
      <c r="E8019" s="4"/>
      <c r="F8019" s="4"/>
    </row>
    <row r="8020" spans="1:6" x14ac:dyDescent="0.4">
      <c r="A8020" s="4"/>
      <c r="B8020" s="4"/>
      <c r="D8020" s="4"/>
      <c r="E8020" s="4"/>
      <c r="F8020" s="4"/>
    </row>
    <row r="8021" spans="1:6" x14ac:dyDescent="0.4">
      <c r="A8021" s="4"/>
      <c r="B8021" s="4"/>
      <c r="D8021" s="4"/>
      <c r="E8021" s="4"/>
      <c r="F8021" s="4"/>
    </row>
    <row r="8022" spans="1:6" x14ac:dyDescent="0.4">
      <c r="A8022" s="4"/>
      <c r="B8022" s="4"/>
      <c r="D8022" s="4"/>
      <c r="E8022" s="4"/>
      <c r="F8022" s="4"/>
    </row>
    <row r="8023" spans="1:6" x14ac:dyDescent="0.4">
      <c r="A8023" s="4"/>
      <c r="B8023" s="4"/>
      <c r="D8023" s="4"/>
      <c r="E8023" s="4"/>
      <c r="F8023" s="4"/>
    </row>
    <row r="8024" spans="1:6" x14ac:dyDescent="0.4">
      <c r="A8024" s="4"/>
      <c r="B8024" s="4"/>
      <c r="D8024" s="4"/>
      <c r="E8024" s="4"/>
      <c r="F8024" s="4"/>
    </row>
    <row r="8025" spans="1:6" x14ac:dyDescent="0.4">
      <c r="A8025" s="4"/>
      <c r="B8025" s="4"/>
      <c r="D8025" s="4"/>
      <c r="E8025" s="4"/>
      <c r="F8025" s="4"/>
    </row>
    <row r="8026" spans="1:6" x14ac:dyDescent="0.4">
      <c r="A8026" s="4"/>
      <c r="B8026" s="4"/>
      <c r="D8026" s="4"/>
      <c r="E8026" s="4"/>
      <c r="F8026" s="4"/>
    </row>
    <row r="8027" spans="1:6" x14ac:dyDescent="0.4">
      <c r="A8027" s="4"/>
      <c r="B8027" s="4"/>
      <c r="D8027" s="4"/>
      <c r="E8027" s="4"/>
      <c r="F8027" s="4"/>
    </row>
    <row r="8028" spans="1:6" x14ac:dyDescent="0.4">
      <c r="A8028" s="4"/>
      <c r="B8028" s="4"/>
      <c r="D8028" s="4"/>
      <c r="E8028" s="4"/>
      <c r="F8028" s="4"/>
    </row>
    <row r="8029" spans="1:6" x14ac:dyDescent="0.4">
      <c r="A8029" s="4"/>
      <c r="B8029" s="4"/>
      <c r="D8029" s="4"/>
      <c r="E8029" s="4"/>
      <c r="F8029" s="4"/>
    </row>
    <row r="8030" spans="1:6" x14ac:dyDescent="0.4">
      <c r="A8030" s="4"/>
      <c r="B8030" s="4"/>
      <c r="D8030" s="4"/>
      <c r="E8030" s="4"/>
      <c r="F8030" s="4"/>
    </row>
    <row r="8031" spans="1:6" x14ac:dyDescent="0.4">
      <c r="A8031" s="4"/>
      <c r="B8031" s="4"/>
      <c r="D8031" s="4"/>
      <c r="E8031" s="4"/>
      <c r="F8031" s="4"/>
    </row>
    <row r="8032" spans="1:6" x14ac:dyDescent="0.4">
      <c r="A8032" s="4"/>
      <c r="B8032" s="4"/>
      <c r="D8032" s="4"/>
      <c r="E8032" s="4"/>
      <c r="F8032" s="4"/>
    </row>
    <row r="8033" spans="1:6" x14ac:dyDescent="0.4">
      <c r="A8033" s="4"/>
      <c r="B8033" s="4"/>
      <c r="D8033" s="4"/>
      <c r="E8033" s="4"/>
      <c r="F8033" s="4"/>
    </row>
    <row r="8034" spans="1:6" x14ac:dyDescent="0.4">
      <c r="A8034" s="4"/>
      <c r="B8034" s="4"/>
      <c r="D8034" s="4"/>
      <c r="E8034" s="4"/>
      <c r="F8034" s="4"/>
    </row>
    <row r="8035" spans="1:6" x14ac:dyDescent="0.4">
      <c r="A8035" s="4"/>
      <c r="B8035" s="4"/>
      <c r="D8035" s="4"/>
      <c r="E8035" s="4"/>
      <c r="F8035" s="4"/>
    </row>
    <row r="8036" spans="1:6" x14ac:dyDescent="0.4">
      <c r="A8036" s="4"/>
      <c r="B8036" s="4"/>
      <c r="D8036" s="4"/>
      <c r="E8036" s="4"/>
      <c r="F8036" s="4"/>
    </row>
    <row r="8037" spans="1:6" x14ac:dyDescent="0.4">
      <c r="A8037" s="4"/>
      <c r="B8037" s="4"/>
      <c r="D8037" s="4"/>
      <c r="E8037" s="4"/>
      <c r="F8037" s="4"/>
    </row>
    <row r="8038" spans="1:6" x14ac:dyDescent="0.4">
      <c r="A8038" s="4"/>
      <c r="B8038" s="4"/>
      <c r="D8038" s="4"/>
      <c r="E8038" s="4"/>
      <c r="F8038" s="4"/>
    </row>
    <row r="8039" spans="1:6" x14ac:dyDescent="0.4">
      <c r="A8039" s="4"/>
      <c r="B8039" s="4"/>
      <c r="D8039" s="4"/>
      <c r="E8039" s="4"/>
      <c r="F8039" s="4"/>
    </row>
    <row r="8040" spans="1:6" x14ac:dyDescent="0.4">
      <c r="A8040" s="4"/>
      <c r="B8040" s="4"/>
      <c r="D8040" s="4"/>
      <c r="E8040" s="4"/>
      <c r="F8040" s="4"/>
    </row>
    <row r="8041" spans="1:6" x14ac:dyDescent="0.4">
      <c r="A8041" s="4"/>
      <c r="B8041" s="4"/>
      <c r="D8041" s="4"/>
      <c r="E8041" s="4"/>
      <c r="F8041" s="4"/>
    </row>
    <row r="8042" spans="1:6" x14ac:dyDescent="0.4">
      <c r="A8042" s="4"/>
      <c r="B8042" s="4"/>
      <c r="D8042" s="4"/>
      <c r="E8042" s="4"/>
      <c r="F8042" s="4"/>
    </row>
    <row r="8043" spans="1:6" x14ac:dyDescent="0.4">
      <c r="A8043" s="4"/>
      <c r="B8043" s="4"/>
      <c r="D8043" s="4"/>
      <c r="E8043" s="4"/>
      <c r="F8043" s="4"/>
    </row>
    <row r="8044" spans="1:6" x14ac:dyDescent="0.4">
      <c r="A8044" s="4"/>
      <c r="B8044" s="4"/>
      <c r="D8044" s="4"/>
      <c r="E8044" s="4"/>
      <c r="F8044" s="4"/>
    </row>
    <row r="8045" spans="1:6" x14ac:dyDescent="0.4">
      <c r="A8045" s="4"/>
      <c r="B8045" s="4"/>
      <c r="D8045" s="4"/>
      <c r="E8045" s="4"/>
      <c r="F8045" s="4"/>
    </row>
    <row r="8046" spans="1:6" x14ac:dyDescent="0.4">
      <c r="A8046" s="4"/>
      <c r="B8046" s="4"/>
      <c r="D8046" s="4"/>
      <c r="E8046" s="4"/>
      <c r="F8046" s="4"/>
    </row>
    <row r="8047" spans="1:6" x14ac:dyDescent="0.4">
      <c r="A8047" s="4"/>
      <c r="B8047" s="4"/>
      <c r="D8047" s="4"/>
      <c r="E8047" s="4"/>
      <c r="F8047" s="4"/>
    </row>
    <row r="8048" spans="1:6" x14ac:dyDescent="0.4">
      <c r="A8048" s="4"/>
      <c r="B8048" s="4"/>
      <c r="D8048" s="4"/>
      <c r="E8048" s="4"/>
      <c r="F8048" s="4"/>
    </row>
    <row r="8049" spans="1:6" x14ac:dyDescent="0.4">
      <c r="A8049" s="4"/>
      <c r="B8049" s="4"/>
      <c r="D8049" s="4"/>
      <c r="E8049" s="4"/>
      <c r="F8049" s="4"/>
    </row>
    <row r="8050" spans="1:6" x14ac:dyDescent="0.4">
      <c r="A8050" s="4"/>
      <c r="B8050" s="4"/>
      <c r="D8050" s="4"/>
      <c r="E8050" s="4"/>
      <c r="F8050" s="4"/>
    </row>
    <row r="8051" spans="1:6" x14ac:dyDescent="0.4">
      <c r="A8051" s="4"/>
      <c r="B8051" s="4"/>
      <c r="D8051" s="4"/>
      <c r="E8051" s="4"/>
      <c r="F8051" s="4"/>
    </row>
    <row r="8052" spans="1:6" x14ac:dyDescent="0.4">
      <c r="A8052" s="4"/>
      <c r="B8052" s="4"/>
      <c r="D8052" s="4"/>
      <c r="E8052" s="4"/>
      <c r="F8052" s="4"/>
    </row>
    <row r="8053" spans="1:6" x14ac:dyDescent="0.4">
      <c r="A8053" s="4"/>
      <c r="B8053" s="4"/>
      <c r="D8053" s="4"/>
      <c r="E8053" s="4"/>
      <c r="F8053" s="4"/>
    </row>
    <row r="8054" spans="1:6" x14ac:dyDescent="0.4">
      <c r="A8054" s="4"/>
      <c r="B8054" s="4"/>
      <c r="D8054" s="4"/>
      <c r="E8054" s="4"/>
      <c r="F8054" s="4"/>
    </row>
    <row r="8055" spans="1:6" x14ac:dyDescent="0.4">
      <c r="A8055" s="4"/>
      <c r="B8055" s="4"/>
      <c r="D8055" s="4"/>
      <c r="E8055" s="4"/>
      <c r="F8055" s="4"/>
    </row>
    <row r="8056" spans="1:6" x14ac:dyDescent="0.4">
      <c r="A8056" s="4"/>
      <c r="B8056" s="4"/>
      <c r="D8056" s="4"/>
      <c r="E8056" s="4"/>
      <c r="F8056" s="4"/>
    </row>
    <row r="8057" spans="1:6" x14ac:dyDescent="0.4">
      <c r="A8057" s="4"/>
      <c r="B8057" s="4"/>
      <c r="D8057" s="4"/>
      <c r="E8057" s="4"/>
      <c r="F8057" s="4"/>
    </row>
    <row r="8058" spans="1:6" x14ac:dyDescent="0.4">
      <c r="A8058" s="4"/>
      <c r="B8058" s="4"/>
      <c r="D8058" s="4"/>
      <c r="E8058" s="4"/>
      <c r="F8058" s="4"/>
    </row>
    <row r="8059" spans="1:6" x14ac:dyDescent="0.4">
      <c r="A8059" s="4"/>
      <c r="B8059" s="4"/>
      <c r="D8059" s="4"/>
      <c r="E8059" s="4"/>
      <c r="F8059" s="4"/>
    </row>
    <row r="8060" spans="1:6" x14ac:dyDescent="0.4">
      <c r="A8060" s="4"/>
      <c r="B8060" s="4"/>
      <c r="D8060" s="4"/>
      <c r="E8060" s="4"/>
      <c r="F8060" s="4"/>
    </row>
    <row r="8061" spans="1:6" x14ac:dyDescent="0.4">
      <c r="A8061" s="4"/>
      <c r="B8061" s="4"/>
      <c r="D8061" s="4"/>
      <c r="E8061" s="4"/>
      <c r="F8061" s="4"/>
    </row>
    <row r="8062" spans="1:6" x14ac:dyDescent="0.4">
      <c r="A8062" s="4"/>
      <c r="B8062" s="4"/>
      <c r="D8062" s="4"/>
      <c r="E8062" s="4"/>
      <c r="F8062" s="4"/>
    </row>
    <row r="8063" spans="1:6" x14ac:dyDescent="0.4">
      <c r="A8063" s="4"/>
      <c r="B8063" s="4"/>
      <c r="D8063" s="4"/>
      <c r="E8063" s="4"/>
      <c r="F8063" s="4"/>
    </row>
    <row r="8064" spans="1:6" x14ac:dyDescent="0.4">
      <c r="A8064" s="4"/>
      <c r="B8064" s="4"/>
      <c r="D8064" s="4"/>
      <c r="E8064" s="4"/>
      <c r="F8064" s="4"/>
    </row>
    <row r="8065" spans="1:6" x14ac:dyDescent="0.4">
      <c r="A8065" s="4"/>
      <c r="B8065" s="4"/>
      <c r="D8065" s="4"/>
      <c r="E8065" s="4"/>
      <c r="F8065" s="4"/>
    </row>
    <row r="8066" spans="1:6" x14ac:dyDescent="0.4">
      <c r="A8066" s="4"/>
      <c r="B8066" s="4"/>
      <c r="D8066" s="4"/>
      <c r="E8066" s="4"/>
      <c r="F8066" s="4"/>
    </row>
    <row r="8067" spans="1:6" x14ac:dyDescent="0.4">
      <c r="A8067" s="4"/>
      <c r="B8067" s="4"/>
      <c r="D8067" s="4"/>
      <c r="E8067" s="4"/>
      <c r="F8067" s="4"/>
    </row>
    <row r="8068" spans="1:6" x14ac:dyDescent="0.4">
      <c r="A8068" s="4"/>
      <c r="B8068" s="4"/>
      <c r="D8068" s="4"/>
      <c r="E8068" s="4"/>
      <c r="F8068" s="4"/>
    </row>
    <row r="8069" spans="1:6" x14ac:dyDescent="0.4">
      <c r="A8069" s="4"/>
      <c r="B8069" s="4"/>
      <c r="D8069" s="4"/>
      <c r="E8069" s="4"/>
      <c r="F8069" s="4"/>
    </row>
    <row r="8070" spans="1:6" x14ac:dyDescent="0.4">
      <c r="A8070" s="4"/>
      <c r="B8070" s="4"/>
      <c r="D8070" s="4"/>
      <c r="E8070" s="4"/>
      <c r="F8070" s="4"/>
    </row>
    <row r="8071" spans="1:6" x14ac:dyDescent="0.4">
      <c r="A8071" s="4"/>
      <c r="B8071" s="4"/>
      <c r="D8071" s="4"/>
      <c r="E8071" s="4"/>
      <c r="F8071" s="4"/>
    </row>
    <row r="8072" spans="1:6" x14ac:dyDescent="0.4">
      <c r="A8072" s="4"/>
      <c r="B8072" s="4"/>
      <c r="D8072" s="4"/>
      <c r="E8072" s="4"/>
      <c r="F8072" s="4"/>
    </row>
    <row r="8073" spans="1:6" x14ac:dyDescent="0.4">
      <c r="A8073" s="4"/>
      <c r="B8073" s="4"/>
      <c r="D8073" s="4"/>
      <c r="E8073" s="4"/>
      <c r="F8073" s="4"/>
    </row>
    <row r="8074" spans="1:6" x14ac:dyDescent="0.4">
      <c r="A8074" s="4"/>
      <c r="B8074" s="4"/>
      <c r="D8074" s="4"/>
      <c r="E8074" s="4"/>
      <c r="F8074" s="4"/>
    </row>
    <row r="8075" spans="1:6" x14ac:dyDescent="0.4">
      <c r="A8075" s="4"/>
      <c r="B8075" s="4"/>
      <c r="D8075" s="4"/>
      <c r="E8075" s="4"/>
      <c r="F8075" s="4"/>
    </row>
    <row r="8076" spans="1:6" x14ac:dyDescent="0.4">
      <c r="A8076" s="4"/>
      <c r="B8076" s="4"/>
      <c r="D8076" s="4"/>
      <c r="E8076" s="4"/>
      <c r="F8076" s="4"/>
    </row>
    <row r="8077" spans="1:6" x14ac:dyDescent="0.4">
      <c r="A8077" s="4"/>
      <c r="B8077" s="4"/>
      <c r="D8077" s="4"/>
      <c r="E8077" s="4"/>
      <c r="F8077" s="4"/>
    </row>
    <row r="8078" spans="1:6" x14ac:dyDescent="0.4">
      <c r="A8078" s="4"/>
      <c r="B8078" s="4"/>
      <c r="D8078" s="4"/>
      <c r="E8078" s="4"/>
      <c r="F8078" s="4"/>
    </row>
    <row r="8079" spans="1:6" x14ac:dyDescent="0.4">
      <c r="A8079" s="4"/>
      <c r="B8079" s="4"/>
      <c r="D8079" s="4"/>
      <c r="E8079" s="4"/>
      <c r="F8079" s="4"/>
    </row>
    <row r="8080" spans="1:6" x14ac:dyDescent="0.4">
      <c r="A8080" s="4"/>
      <c r="B8080" s="4"/>
      <c r="D8080" s="4"/>
      <c r="E8080" s="4"/>
      <c r="F8080" s="4"/>
    </row>
    <row r="8081" spans="1:6" x14ac:dyDescent="0.4">
      <c r="A8081" s="4"/>
      <c r="B8081" s="4"/>
      <c r="D8081" s="4"/>
      <c r="E8081" s="4"/>
      <c r="F8081" s="4"/>
    </row>
    <row r="8082" spans="1:6" x14ac:dyDescent="0.4">
      <c r="A8082" s="4"/>
      <c r="B8082" s="4"/>
      <c r="D8082" s="4"/>
      <c r="E8082" s="4"/>
      <c r="F8082" s="4"/>
    </row>
    <row r="8083" spans="1:6" x14ac:dyDescent="0.4">
      <c r="A8083" s="4"/>
      <c r="B8083" s="4"/>
      <c r="D8083" s="4"/>
      <c r="E8083" s="4"/>
      <c r="F8083" s="4"/>
    </row>
    <row r="8084" spans="1:6" x14ac:dyDescent="0.4">
      <c r="A8084" s="4"/>
      <c r="B8084" s="4"/>
      <c r="D8084" s="4"/>
      <c r="E8084" s="4"/>
      <c r="F8084" s="4"/>
    </row>
    <row r="8085" spans="1:6" x14ac:dyDescent="0.4">
      <c r="A8085" s="4"/>
      <c r="B8085" s="4"/>
      <c r="D8085" s="4"/>
      <c r="E8085" s="4"/>
      <c r="F8085" s="4"/>
    </row>
    <row r="8086" spans="1:6" x14ac:dyDescent="0.4">
      <c r="A8086" s="4"/>
      <c r="B8086" s="4"/>
      <c r="D8086" s="4"/>
      <c r="E8086" s="4"/>
      <c r="F8086" s="4"/>
    </row>
    <row r="8087" spans="1:6" x14ac:dyDescent="0.4">
      <c r="A8087" s="4"/>
      <c r="B8087" s="4"/>
      <c r="D8087" s="4"/>
      <c r="E8087" s="4"/>
      <c r="F8087" s="4"/>
    </row>
    <row r="8088" spans="1:6" x14ac:dyDescent="0.4">
      <c r="A8088" s="4"/>
      <c r="B8088" s="4"/>
      <c r="D8088" s="4"/>
      <c r="E8088" s="4"/>
      <c r="F8088" s="4"/>
    </row>
    <row r="8089" spans="1:6" x14ac:dyDescent="0.4">
      <c r="A8089" s="4"/>
      <c r="B8089" s="4"/>
      <c r="D8089" s="4"/>
      <c r="E8089" s="4"/>
      <c r="F8089" s="4"/>
    </row>
    <row r="8090" spans="1:6" x14ac:dyDescent="0.4">
      <c r="A8090" s="4"/>
      <c r="B8090" s="4"/>
      <c r="D8090" s="4"/>
      <c r="E8090" s="4"/>
      <c r="F8090" s="4"/>
    </row>
    <row r="8091" spans="1:6" x14ac:dyDescent="0.4">
      <c r="A8091" s="4"/>
      <c r="B8091" s="4"/>
      <c r="D8091" s="4"/>
      <c r="E8091" s="4"/>
      <c r="F8091" s="4"/>
    </row>
    <row r="8092" spans="1:6" x14ac:dyDescent="0.4">
      <c r="A8092" s="4"/>
      <c r="B8092" s="4"/>
      <c r="D8092" s="4"/>
      <c r="E8092" s="4"/>
      <c r="F8092" s="4"/>
    </row>
    <row r="8093" spans="1:6" x14ac:dyDescent="0.4">
      <c r="A8093" s="4"/>
      <c r="B8093" s="4"/>
      <c r="D8093" s="4"/>
      <c r="E8093" s="4"/>
      <c r="F8093" s="4"/>
    </row>
    <row r="8094" spans="1:6" x14ac:dyDescent="0.4">
      <c r="A8094" s="4"/>
      <c r="B8094" s="4"/>
      <c r="D8094" s="4"/>
      <c r="E8094" s="4"/>
      <c r="F8094" s="4"/>
    </row>
    <row r="8095" spans="1:6" x14ac:dyDescent="0.4">
      <c r="A8095" s="4"/>
      <c r="B8095" s="4"/>
      <c r="D8095" s="4"/>
      <c r="E8095" s="4"/>
      <c r="F8095" s="4"/>
    </row>
    <row r="8096" spans="1:6" x14ac:dyDescent="0.4">
      <c r="A8096" s="4"/>
      <c r="B8096" s="4"/>
      <c r="D8096" s="4"/>
      <c r="E8096" s="4"/>
      <c r="F8096" s="4"/>
    </row>
    <row r="8097" spans="1:6" x14ac:dyDescent="0.4">
      <c r="A8097" s="4"/>
      <c r="B8097" s="4"/>
      <c r="D8097" s="4"/>
      <c r="E8097" s="4"/>
      <c r="F8097" s="4"/>
    </row>
    <row r="8098" spans="1:6" x14ac:dyDescent="0.4">
      <c r="A8098" s="4"/>
      <c r="B8098" s="4"/>
      <c r="D8098" s="4"/>
      <c r="E8098" s="4"/>
      <c r="F8098" s="4"/>
    </row>
    <row r="8099" spans="1:6" x14ac:dyDescent="0.4">
      <c r="A8099" s="4"/>
      <c r="B8099" s="4"/>
      <c r="D8099" s="4"/>
      <c r="E8099" s="4"/>
      <c r="F8099" s="4"/>
    </row>
    <row r="8100" spans="1:6" x14ac:dyDescent="0.4">
      <c r="A8100" s="4"/>
      <c r="B8100" s="4"/>
      <c r="D8100" s="4"/>
      <c r="E8100" s="4"/>
      <c r="F8100" s="4"/>
    </row>
    <row r="8101" spans="1:6" x14ac:dyDescent="0.4">
      <c r="A8101" s="4"/>
      <c r="B8101" s="4"/>
      <c r="D8101" s="4"/>
      <c r="E8101" s="4"/>
      <c r="F8101" s="4"/>
    </row>
    <row r="8102" spans="1:6" x14ac:dyDescent="0.4">
      <c r="A8102" s="4"/>
      <c r="B8102" s="4"/>
      <c r="D8102" s="4"/>
      <c r="E8102" s="4"/>
      <c r="F8102" s="4"/>
    </row>
    <row r="8103" spans="1:6" x14ac:dyDescent="0.4">
      <c r="A8103" s="4"/>
      <c r="B8103" s="4"/>
      <c r="D8103" s="4"/>
      <c r="E8103" s="4"/>
      <c r="F8103" s="4"/>
    </row>
    <row r="8104" spans="1:6" x14ac:dyDescent="0.4">
      <c r="A8104" s="4"/>
      <c r="B8104" s="4"/>
      <c r="D8104" s="4"/>
      <c r="E8104" s="4"/>
      <c r="F8104" s="4"/>
    </row>
    <row r="8105" spans="1:6" x14ac:dyDescent="0.4">
      <c r="A8105" s="4"/>
      <c r="B8105" s="4"/>
      <c r="D8105" s="4"/>
      <c r="E8105" s="4"/>
      <c r="F8105" s="4"/>
    </row>
    <row r="8106" spans="1:6" x14ac:dyDescent="0.4">
      <c r="A8106" s="4"/>
      <c r="B8106" s="4"/>
      <c r="D8106" s="4"/>
      <c r="E8106" s="4"/>
      <c r="F8106" s="4"/>
    </row>
    <row r="8107" spans="1:6" x14ac:dyDescent="0.4">
      <c r="A8107" s="4"/>
      <c r="B8107" s="4"/>
      <c r="D8107" s="4"/>
      <c r="E8107" s="4"/>
      <c r="F8107" s="4"/>
    </row>
    <row r="8108" spans="1:6" x14ac:dyDescent="0.4">
      <c r="A8108" s="4"/>
      <c r="B8108" s="4"/>
      <c r="D8108" s="4"/>
      <c r="E8108" s="4"/>
      <c r="F8108" s="4"/>
    </row>
    <row r="8109" spans="1:6" x14ac:dyDescent="0.4">
      <c r="A8109" s="4"/>
      <c r="B8109" s="4"/>
      <c r="D8109" s="4"/>
      <c r="E8109" s="4"/>
      <c r="F8109" s="4"/>
    </row>
    <row r="8110" spans="1:6" x14ac:dyDescent="0.4">
      <c r="A8110" s="4"/>
      <c r="B8110" s="4"/>
      <c r="D8110" s="4"/>
      <c r="E8110" s="4"/>
      <c r="F8110" s="4"/>
    </row>
    <row r="8111" spans="1:6" x14ac:dyDescent="0.4">
      <c r="A8111" s="4"/>
      <c r="B8111" s="4"/>
      <c r="D8111" s="4"/>
      <c r="E8111" s="4"/>
      <c r="F8111" s="4"/>
    </row>
    <row r="8112" spans="1:6" x14ac:dyDescent="0.4">
      <c r="A8112" s="4"/>
      <c r="B8112" s="4"/>
      <c r="D8112" s="4"/>
      <c r="E8112" s="4"/>
      <c r="F8112" s="4"/>
    </row>
    <row r="8113" spans="1:6" x14ac:dyDescent="0.4">
      <c r="A8113" s="4"/>
      <c r="B8113" s="4"/>
      <c r="D8113" s="4"/>
      <c r="E8113" s="4"/>
      <c r="F8113" s="4"/>
    </row>
    <row r="8114" spans="1:6" x14ac:dyDescent="0.4">
      <c r="A8114" s="4"/>
      <c r="B8114" s="4"/>
      <c r="D8114" s="4"/>
      <c r="E8114" s="4"/>
      <c r="F8114" s="4"/>
    </row>
    <row r="8115" spans="1:6" x14ac:dyDescent="0.4">
      <c r="A8115" s="4"/>
      <c r="B8115" s="4"/>
      <c r="D8115" s="4"/>
      <c r="E8115" s="4"/>
      <c r="F8115" s="4"/>
    </row>
    <row r="8116" spans="1:6" x14ac:dyDescent="0.4">
      <c r="A8116" s="4"/>
      <c r="B8116" s="4"/>
      <c r="D8116" s="4"/>
      <c r="E8116" s="4"/>
      <c r="F8116" s="4"/>
    </row>
    <row r="8117" spans="1:6" x14ac:dyDescent="0.4">
      <c r="A8117" s="4"/>
      <c r="B8117" s="4"/>
      <c r="D8117" s="4"/>
      <c r="E8117" s="4"/>
      <c r="F8117" s="4"/>
    </row>
    <row r="8118" spans="1:6" x14ac:dyDescent="0.4">
      <c r="A8118" s="4"/>
      <c r="B8118" s="4"/>
      <c r="D8118" s="4"/>
      <c r="E8118" s="4"/>
      <c r="F8118" s="4"/>
    </row>
    <row r="8119" spans="1:6" x14ac:dyDescent="0.4">
      <c r="A8119" s="4"/>
      <c r="B8119" s="4"/>
      <c r="D8119" s="4"/>
      <c r="E8119" s="4"/>
      <c r="F8119" s="4"/>
    </row>
    <row r="8120" spans="1:6" x14ac:dyDescent="0.4">
      <c r="A8120" s="4"/>
      <c r="B8120" s="4"/>
      <c r="D8120" s="4"/>
      <c r="E8120" s="4"/>
      <c r="F8120" s="4"/>
    </row>
    <row r="8121" spans="1:6" x14ac:dyDescent="0.4">
      <c r="A8121" s="4"/>
      <c r="B8121" s="4"/>
      <c r="D8121" s="4"/>
      <c r="E8121" s="4"/>
      <c r="F8121" s="4"/>
    </row>
    <row r="8122" spans="1:6" x14ac:dyDescent="0.4">
      <c r="A8122" s="4"/>
      <c r="B8122" s="4"/>
      <c r="D8122" s="4"/>
      <c r="E8122" s="4"/>
      <c r="F8122" s="4"/>
    </row>
    <row r="8123" spans="1:6" x14ac:dyDescent="0.4">
      <c r="A8123" s="4"/>
      <c r="B8123" s="4"/>
      <c r="D8123" s="4"/>
      <c r="E8123" s="4"/>
      <c r="F8123" s="4"/>
    </row>
    <row r="8124" spans="1:6" x14ac:dyDescent="0.4">
      <c r="A8124" s="4"/>
      <c r="B8124" s="4"/>
      <c r="D8124" s="4"/>
      <c r="E8124" s="4"/>
      <c r="F8124" s="4"/>
    </row>
    <row r="8125" spans="1:6" x14ac:dyDescent="0.4">
      <c r="A8125" s="4"/>
      <c r="B8125" s="4"/>
      <c r="D8125" s="4"/>
      <c r="E8125" s="4"/>
      <c r="F8125" s="4"/>
    </row>
    <row r="8126" spans="1:6" x14ac:dyDescent="0.4">
      <c r="A8126" s="4"/>
      <c r="B8126" s="4"/>
      <c r="D8126" s="4"/>
      <c r="E8126" s="4"/>
      <c r="F8126" s="4"/>
    </row>
    <row r="8127" spans="1:6" x14ac:dyDescent="0.4">
      <c r="A8127" s="4"/>
      <c r="B8127" s="4"/>
      <c r="D8127" s="4"/>
      <c r="E8127" s="4"/>
      <c r="F8127" s="4"/>
    </row>
    <row r="8128" spans="1:6" x14ac:dyDescent="0.4">
      <c r="A8128" s="4"/>
      <c r="B8128" s="4"/>
      <c r="D8128" s="4"/>
      <c r="E8128" s="4"/>
      <c r="F8128" s="4"/>
    </row>
    <row r="8129" spans="1:6" x14ac:dyDescent="0.4">
      <c r="A8129" s="4"/>
      <c r="B8129" s="4"/>
      <c r="D8129" s="4"/>
      <c r="E8129" s="4"/>
      <c r="F8129" s="4"/>
    </row>
    <row r="8130" spans="1:6" x14ac:dyDescent="0.4">
      <c r="A8130" s="4"/>
      <c r="B8130" s="4"/>
      <c r="D8130" s="4"/>
      <c r="E8130" s="4"/>
      <c r="F8130" s="4"/>
    </row>
    <row r="8131" spans="1:6" x14ac:dyDescent="0.4">
      <c r="A8131" s="4"/>
      <c r="B8131" s="4"/>
      <c r="D8131" s="4"/>
      <c r="E8131" s="4"/>
      <c r="F8131" s="4"/>
    </row>
    <row r="8132" spans="1:6" x14ac:dyDescent="0.4">
      <c r="A8132" s="4"/>
      <c r="B8132" s="4"/>
      <c r="D8132" s="4"/>
      <c r="E8132" s="4"/>
      <c r="F8132" s="4"/>
    </row>
    <row r="8133" spans="1:6" x14ac:dyDescent="0.4">
      <c r="A8133" s="4"/>
      <c r="B8133" s="4"/>
      <c r="D8133" s="4"/>
      <c r="E8133" s="4"/>
      <c r="F8133" s="4"/>
    </row>
    <row r="8134" spans="1:6" x14ac:dyDescent="0.4">
      <c r="A8134" s="4"/>
      <c r="B8134" s="4"/>
      <c r="D8134" s="4"/>
      <c r="E8134" s="4"/>
      <c r="F8134" s="4"/>
    </row>
    <row r="8135" spans="1:6" x14ac:dyDescent="0.4">
      <c r="A8135" s="4"/>
      <c r="B8135" s="4"/>
      <c r="D8135" s="4"/>
      <c r="E8135" s="4"/>
      <c r="F8135" s="4"/>
    </row>
    <row r="8136" spans="1:6" x14ac:dyDescent="0.4">
      <c r="A8136" s="4"/>
      <c r="B8136" s="4"/>
      <c r="D8136" s="4"/>
      <c r="E8136" s="4"/>
      <c r="F8136" s="4"/>
    </row>
    <row r="8137" spans="1:6" x14ac:dyDescent="0.4">
      <c r="A8137" s="4"/>
      <c r="B8137" s="4"/>
      <c r="D8137" s="4"/>
      <c r="E8137" s="4"/>
      <c r="F8137" s="4"/>
    </row>
    <row r="8138" spans="1:6" x14ac:dyDescent="0.4">
      <c r="A8138" s="4"/>
      <c r="B8138" s="4"/>
      <c r="D8138" s="4"/>
      <c r="E8138" s="4"/>
      <c r="F8138" s="4"/>
    </row>
    <row r="8139" spans="1:6" x14ac:dyDescent="0.4">
      <c r="A8139" s="4"/>
      <c r="B8139" s="4"/>
      <c r="D8139" s="4"/>
      <c r="E8139" s="4"/>
      <c r="F8139" s="4"/>
    </row>
    <row r="8140" spans="1:6" x14ac:dyDescent="0.4">
      <c r="A8140" s="4"/>
      <c r="B8140" s="4"/>
      <c r="D8140" s="4"/>
      <c r="E8140" s="4"/>
      <c r="F8140" s="4"/>
    </row>
    <row r="8141" spans="1:6" x14ac:dyDescent="0.4">
      <c r="A8141" s="4"/>
      <c r="B8141" s="4"/>
      <c r="D8141" s="4"/>
      <c r="E8141" s="4"/>
      <c r="F8141" s="4"/>
    </row>
    <row r="8142" spans="1:6" x14ac:dyDescent="0.4">
      <c r="A8142" s="4"/>
      <c r="B8142" s="4"/>
      <c r="D8142" s="4"/>
      <c r="E8142" s="4"/>
      <c r="F8142" s="4"/>
    </row>
    <row r="8143" spans="1:6" x14ac:dyDescent="0.4">
      <c r="A8143" s="4"/>
      <c r="B8143" s="4"/>
      <c r="D8143" s="4"/>
      <c r="E8143" s="4"/>
      <c r="F8143" s="4"/>
    </row>
    <row r="8144" spans="1:6" x14ac:dyDescent="0.4">
      <c r="A8144" s="4"/>
      <c r="B8144" s="4"/>
      <c r="D8144" s="4"/>
      <c r="E8144" s="4"/>
      <c r="F8144" s="4"/>
    </row>
    <row r="8145" spans="1:6" x14ac:dyDescent="0.4">
      <c r="A8145" s="4"/>
      <c r="B8145" s="4"/>
      <c r="D8145" s="4"/>
      <c r="E8145" s="4"/>
      <c r="F8145" s="4"/>
    </row>
    <row r="8146" spans="1:6" x14ac:dyDescent="0.4">
      <c r="A8146" s="4"/>
      <c r="B8146" s="4"/>
      <c r="D8146" s="4"/>
      <c r="E8146" s="4"/>
      <c r="F8146" s="4"/>
    </row>
    <row r="8147" spans="1:6" x14ac:dyDescent="0.4">
      <c r="A8147" s="4"/>
      <c r="B8147" s="4"/>
      <c r="D8147" s="4"/>
      <c r="E8147" s="4"/>
      <c r="F8147" s="4"/>
    </row>
    <row r="8148" spans="1:6" x14ac:dyDescent="0.4">
      <c r="A8148" s="4"/>
      <c r="B8148" s="4"/>
      <c r="D8148" s="4"/>
      <c r="E8148" s="4"/>
      <c r="F8148" s="4"/>
    </row>
    <row r="8149" spans="1:6" x14ac:dyDescent="0.4">
      <c r="A8149" s="4"/>
      <c r="B8149" s="4"/>
      <c r="D8149" s="4"/>
      <c r="E8149" s="4"/>
      <c r="F8149" s="4"/>
    </row>
    <row r="8150" spans="1:6" x14ac:dyDescent="0.4">
      <c r="A8150" s="4"/>
      <c r="B8150" s="4"/>
      <c r="D8150" s="4"/>
      <c r="E8150" s="4"/>
      <c r="F8150" s="4"/>
    </row>
    <row r="8151" spans="1:6" x14ac:dyDescent="0.4">
      <c r="A8151" s="4"/>
      <c r="B8151" s="4"/>
      <c r="D8151" s="4"/>
      <c r="E8151" s="4"/>
      <c r="F8151" s="4"/>
    </row>
    <row r="8152" spans="1:6" x14ac:dyDescent="0.4">
      <c r="A8152" s="4"/>
      <c r="B8152" s="4"/>
      <c r="D8152" s="4"/>
      <c r="E8152" s="4"/>
      <c r="F8152" s="4"/>
    </row>
    <row r="8153" spans="1:6" x14ac:dyDescent="0.4">
      <c r="A8153" s="4"/>
      <c r="B8153" s="4"/>
      <c r="D8153" s="4"/>
      <c r="E8153" s="4"/>
      <c r="F8153" s="4"/>
    </row>
    <row r="8154" spans="1:6" x14ac:dyDescent="0.4">
      <c r="A8154" s="4"/>
      <c r="B8154" s="4"/>
      <c r="D8154" s="4"/>
      <c r="E8154" s="4"/>
      <c r="F8154" s="4"/>
    </row>
    <row r="8155" spans="1:6" x14ac:dyDescent="0.4">
      <c r="A8155" s="4"/>
      <c r="B8155" s="4"/>
      <c r="D8155" s="4"/>
      <c r="E8155" s="4"/>
      <c r="F8155" s="4"/>
    </row>
    <row r="8156" spans="1:6" x14ac:dyDescent="0.4">
      <c r="A8156" s="4"/>
      <c r="B8156" s="4"/>
      <c r="D8156" s="4"/>
      <c r="E8156" s="4"/>
      <c r="F8156" s="4"/>
    </row>
    <row r="8157" spans="1:6" x14ac:dyDescent="0.4">
      <c r="A8157" s="4"/>
      <c r="B8157" s="4"/>
      <c r="D8157" s="4"/>
      <c r="E8157" s="4"/>
      <c r="F8157" s="4"/>
    </row>
    <row r="8158" spans="1:6" x14ac:dyDescent="0.4">
      <c r="A8158" s="4"/>
      <c r="B8158" s="4"/>
      <c r="D8158" s="4"/>
      <c r="E8158" s="4"/>
      <c r="F8158" s="4"/>
    </row>
    <row r="8159" spans="1:6" x14ac:dyDescent="0.4">
      <c r="A8159" s="4"/>
      <c r="B8159" s="4"/>
      <c r="D8159" s="4"/>
      <c r="E8159" s="4"/>
      <c r="F8159" s="4"/>
    </row>
    <row r="8160" spans="1:6" x14ac:dyDescent="0.4">
      <c r="A8160" s="4"/>
      <c r="B8160" s="4"/>
      <c r="D8160" s="4"/>
      <c r="E8160" s="4"/>
      <c r="F8160" s="4"/>
    </row>
    <row r="8161" spans="1:6" x14ac:dyDescent="0.4">
      <c r="A8161" s="4"/>
      <c r="B8161" s="4"/>
      <c r="D8161" s="4"/>
      <c r="E8161" s="4"/>
      <c r="F8161" s="4"/>
    </row>
    <row r="8162" spans="1:6" x14ac:dyDescent="0.4">
      <c r="A8162" s="4"/>
      <c r="B8162" s="4"/>
      <c r="D8162" s="4"/>
      <c r="E8162" s="4"/>
      <c r="F8162" s="4"/>
    </row>
    <row r="8163" spans="1:6" x14ac:dyDescent="0.4">
      <c r="A8163" s="4"/>
      <c r="B8163" s="4"/>
      <c r="D8163" s="4"/>
      <c r="E8163" s="4"/>
      <c r="F8163" s="4"/>
    </row>
    <row r="8164" spans="1:6" x14ac:dyDescent="0.4">
      <c r="A8164" s="4"/>
      <c r="B8164" s="4"/>
      <c r="D8164" s="4"/>
      <c r="E8164" s="4"/>
      <c r="F8164" s="4"/>
    </row>
    <row r="8165" spans="1:6" x14ac:dyDescent="0.4">
      <c r="A8165" s="4"/>
      <c r="B8165" s="4"/>
      <c r="D8165" s="4"/>
      <c r="E8165" s="4"/>
      <c r="F8165" s="4"/>
    </row>
    <row r="8166" spans="1:6" x14ac:dyDescent="0.4">
      <c r="A8166" s="4"/>
      <c r="B8166" s="4"/>
      <c r="D8166" s="4"/>
      <c r="E8166" s="4"/>
      <c r="F8166" s="4"/>
    </row>
    <row r="8167" spans="1:6" x14ac:dyDescent="0.4">
      <c r="A8167" s="4"/>
      <c r="B8167" s="4"/>
      <c r="D8167" s="4"/>
      <c r="E8167" s="4"/>
      <c r="F8167" s="4"/>
    </row>
    <row r="8168" spans="1:6" x14ac:dyDescent="0.4">
      <c r="A8168" s="4"/>
      <c r="B8168" s="4"/>
      <c r="D8168" s="4"/>
      <c r="E8168" s="4"/>
      <c r="F8168" s="4"/>
    </row>
    <row r="8169" spans="1:6" x14ac:dyDescent="0.4">
      <c r="A8169" s="4"/>
      <c r="B8169" s="4"/>
      <c r="D8169" s="4"/>
      <c r="E8169" s="4"/>
      <c r="F8169" s="4"/>
    </row>
    <row r="8170" spans="1:6" x14ac:dyDescent="0.4">
      <c r="A8170" s="4"/>
      <c r="B8170" s="4"/>
      <c r="D8170" s="4"/>
      <c r="E8170" s="4"/>
      <c r="F8170" s="4"/>
    </row>
    <row r="8171" spans="1:6" x14ac:dyDescent="0.4">
      <c r="A8171" s="4"/>
      <c r="B8171" s="4"/>
      <c r="D8171" s="4"/>
      <c r="E8171" s="4"/>
      <c r="F8171" s="4"/>
    </row>
    <row r="8172" spans="1:6" x14ac:dyDescent="0.4">
      <c r="A8172" s="4"/>
      <c r="B8172" s="4"/>
      <c r="D8172" s="4"/>
      <c r="E8172" s="4"/>
      <c r="F8172" s="4"/>
    </row>
    <row r="8173" spans="1:6" x14ac:dyDescent="0.4">
      <c r="A8173" s="4"/>
      <c r="B8173" s="4"/>
      <c r="D8173" s="4"/>
      <c r="E8173" s="4"/>
      <c r="F8173" s="4"/>
    </row>
    <row r="8174" spans="1:6" x14ac:dyDescent="0.4">
      <c r="A8174" s="4"/>
      <c r="B8174" s="4"/>
      <c r="D8174" s="4"/>
      <c r="E8174" s="4"/>
      <c r="F8174" s="4"/>
    </row>
    <row r="8175" spans="1:6" x14ac:dyDescent="0.4">
      <c r="A8175" s="4"/>
      <c r="B8175" s="4"/>
      <c r="D8175" s="4"/>
      <c r="E8175" s="4"/>
      <c r="F8175" s="4"/>
    </row>
    <row r="8176" spans="1:6" x14ac:dyDescent="0.4">
      <c r="A8176" s="4"/>
      <c r="B8176" s="4"/>
      <c r="D8176" s="4"/>
      <c r="E8176" s="4"/>
      <c r="F8176" s="4"/>
    </row>
    <row r="8177" spans="1:6" x14ac:dyDescent="0.4">
      <c r="A8177" s="4"/>
      <c r="B8177" s="4"/>
      <c r="D8177" s="4"/>
      <c r="E8177" s="4"/>
      <c r="F8177" s="4"/>
    </row>
    <row r="8178" spans="1:6" x14ac:dyDescent="0.4">
      <c r="A8178" s="4"/>
      <c r="B8178" s="4"/>
      <c r="D8178" s="4"/>
      <c r="E8178" s="4"/>
      <c r="F8178" s="4"/>
    </row>
    <row r="8179" spans="1:6" x14ac:dyDescent="0.4">
      <c r="A8179" s="4"/>
      <c r="B8179" s="4"/>
      <c r="D8179" s="4"/>
      <c r="E8179" s="4"/>
      <c r="F8179" s="4"/>
    </row>
    <row r="8180" spans="1:6" x14ac:dyDescent="0.4">
      <c r="A8180" s="4"/>
      <c r="B8180" s="4"/>
      <c r="D8180" s="4"/>
      <c r="E8180" s="4"/>
      <c r="F8180" s="4"/>
    </row>
    <row r="8181" spans="1:6" x14ac:dyDescent="0.4">
      <c r="A8181" s="4"/>
      <c r="B8181" s="4"/>
      <c r="D8181" s="4"/>
      <c r="E8181" s="4"/>
      <c r="F8181" s="4"/>
    </row>
    <row r="8182" spans="1:6" x14ac:dyDescent="0.4">
      <c r="A8182" s="4"/>
      <c r="B8182" s="4"/>
      <c r="D8182" s="4"/>
      <c r="E8182" s="4"/>
      <c r="F8182" s="4"/>
    </row>
    <row r="8183" spans="1:6" x14ac:dyDescent="0.4">
      <c r="A8183" s="4"/>
      <c r="B8183" s="4"/>
      <c r="D8183" s="4"/>
      <c r="E8183" s="4"/>
      <c r="F8183" s="4"/>
    </row>
    <row r="8184" spans="1:6" x14ac:dyDescent="0.4">
      <c r="A8184" s="4"/>
      <c r="B8184" s="4"/>
      <c r="D8184" s="4"/>
      <c r="E8184" s="4"/>
      <c r="F8184" s="4"/>
    </row>
    <row r="8185" spans="1:6" x14ac:dyDescent="0.4">
      <c r="A8185" s="4"/>
      <c r="B8185" s="4"/>
      <c r="D8185" s="4"/>
      <c r="E8185" s="4"/>
      <c r="F8185" s="4"/>
    </row>
    <row r="8186" spans="1:6" x14ac:dyDescent="0.4">
      <c r="A8186" s="4"/>
      <c r="B8186" s="4"/>
      <c r="D8186" s="4"/>
      <c r="E8186" s="4"/>
      <c r="F8186" s="4"/>
    </row>
    <row r="8187" spans="1:6" x14ac:dyDescent="0.4">
      <c r="A8187" s="4"/>
      <c r="B8187" s="4"/>
      <c r="D8187" s="4"/>
      <c r="E8187" s="4"/>
      <c r="F8187" s="4"/>
    </row>
    <row r="8188" spans="1:6" x14ac:dyDescent="0.4">
      <c r="A8188" s="4"/>
      <c r="B8188" s="4"/>
      <c r="D8188" s="4"/>
      <c r="E8188" s="4"/>
      <c r="F8188" s="4"/>
    </row>
    <row r="8189" spans="1:6" x14ac:dyDescent="0.4">
      <c r="A8189" s="4"/>
      <c r="B8189" s="4"/>
      <c r="D8189" s="4"/>
      <c r="E8189" s="4"/>
      <c r="F8189" s="4"/>
    </row>
    <row r="8190" spans="1:6" x14ac:dyDescent="0.4">
      <c r="A8190" s="4"/>
      <c r="B8190" s="4"/>
      <c r="D8190" s="4"/>
      <c r="E8190" s="4"/>
      <c r="F8190" s="4"/>
    </row>
    <row r="8191" spans="1:6" x14ac:dyDescent="0.4">
      <c r="A8191" s="4"/>
      <c r="B8191" s="4"/>
      <c r="D8191" s="4"/>
      <c r="E8191" s="4"/>
      <c r="F8191" s="4"/>
    </row>
    <row r="8192" spans="1:6" x14ac:dyDescent="0.4">
      <c r="A8192" s="4"/>
      <c r="B8192" s="4"/>
      <c r="D8192" s="4"/>
      <c r="E8192" s="4"/>
      <c r="F8192" s="4"/>
    </row>
    <row r="8193" spans="1:6" x14ac:dyDescent="0.4">
      <c r="A8193" s="4"/>
      <c r="B8193" s="4"/>
      <c r="D8193" s="4"/>
      <c r="E8193" s="4"/>
      <c r="F8193" s="4"/>
    </row>
    <row r="8194" spans="1:6" x14ac:dyDescent="0.4">
      <c r="A8194" s="4"/>
      <c r="B8194" s="4"/>
      <c r="D8194" s="4"/>
      <c r="E8194" s="4"/>
      <c r="F8194" s="4"/>
    </row>
    <row r="8195" spans="1:6" x14ac:dyDescent="0.4">
      <c r="A8195" s="4"/>
      <c r="B8195" s="4"/>
      <c r="D8195" s="4"/>
      <c r="E8195" s="4"/>
      <c r="F8195" s="4"/>
    </row>
    <row r="8196" spans="1:6" x14ac:dyDescent="0.4">
      <c r="A8196" s="4"/>
      <c r="B8196" s="4"/>
      <c r="D8196" s="4"/>
      <c r="E8196" s="4"/>
      <c r="F8196" s="4"/>
    </row>
    <row r="8197" spans="1:6" x14ac:dyDescent="0.4">
      <c r="A8197" s="4"/>
      <c r="B8197" s="4"/>
      <c r="D8197" s="4"/>
      <c r="E8197" s="4"/>
      <c r="F8197" s="4"/>
    </row>
    <row r="8198" spans="1:6" x14ac:dyDescent="0.4">
      <c r="A8198" s="4"/>
      <c r="B8198" s="4"/>
      <c r="D8198" s="4"/>
      <c r="E8198" s="4"/>
      <c r="F8198" s="4"/>
    </row>
    <row r="8199" spans="1:6" x14ac:dyDescent="0.4">
      <c r="A8199" s="4"/>
      <c r="B8199" s="4"/>
      <c r="D8199" s="4"/>
      <c r="E8199" s="4"/>
      <c r="F8199" s="4"/>
    </row>
    <row r="8200" spans="1:6" x14ac:dyDescent="0.4">
      <c r="A8200" s="4"/>
      <c r="B8200" s="4"/>
      <c r="D8200" s="4"/>
      <c r="E8200" s="4"/>
      <c r="F8200" s="4"/>
    </row>
    <row r="8201" spans="1:6" x14ac:dyDescent="0.4">
      <c r="A8201" s="4"/>
      <c r="B8201" s="4"/>
      <c r="D8201" s="4"/>
      <c r="E8201" s="4"/>
      <c r="F8201" s="4"/>
    </row>
    <row r="8202" spans="1:6" x14ac:dyDescent="0.4">
      <c r="A8202" s="4"/>
      <c r="B8202" s="4"/>
      <c r="D8202" s="4"/>
      <c r="E8202" s="4"/>
      <c r="F8202" s="4"/>
    </row>
    <row r="8203" spans="1:6" x14ac:dyDescent="0.4">
      <c r="A8203" s="4"/>
      <c r="B8203" s="4"/>
      <c r="D8203" s="4"/>
      <c r="E8203" s="4"/>
      <c r="F8203" s="4"/>
    </row>
    <row r="8204" spans="1:6" x14ac:dyDescent="0.4">
      <c r="A8204" s="4"/>
      <c r="B8204" s="4"/>
      <c r="D8204" s="4"/>
      <c r="E8204" s="4"/>
      <c r="F8204" s="4"/>
    </row>
    <row r="8205" spans="1:6" x14ac:dyDescent="0.4">
      <c r="A8205" s="4"/>
      <c r="B8205" s="4"/>
      <c r="D8205" s="4"/>
      <c r="E8205" s="4"/>
      <c r="F8205" s="4"/>
    </row>
    <row r="8206" spans="1:6" x14ac:dyDescent="0.4">
      <c r="A8206" s="4"/>
      <c r="B8206" s="4"/>
      <c r="D8206" s="4"/>
      <c r="E8206" s="4"/>
      <c r="F8206" s="4"/>
    </row>
    <row r="8207" spans="1:6" x14ac:dyDescent="0.4">
      <c r="A8207" s="4"/>
      <c r="B8207" s="4"/>
      <c r="D8207" s="4"/>
      <c r="E8207" s="4"/>
      <c r="F8207" s="4"/>
    </row>
    <row r="8208" spans="1:6" x14ac:dyDescent="0.4">
      <c r="A8208" s="4"/>
      <c r="B8208" s="4"/>
      <c r="D8208" s="4"/>
      <c r="E8208" s="4"/>
      <c r="F8208" s="4"/>
    </row>
    <row r="8209" spans="1:6" x14ac:dyDescent="0.4">
      <c r="A8209" s="4"/>
      <c r="B8209" s="4"/>
      <c r="D8209" s="4"/>
      <c r="E8209" s="4"/>
      <c r="F8209" s="4"/>
    </row>
    <row r="8210" spans="1:6" x14ac:dyDescent="0.4">
      <c r="A8210" s="4"/>
      <c r="B8210" s="4"/>
      <c r="D8210" s="4"/>
      <c r="E8210" s="4"/>
      <c r="F8210" s="4"/>
    </row>
    <row r="8211" spans="1:6" x14ac:dyDescent="0.4">
      <c r="A8211" s="4"/>
      <c r="B8211" s="4"/>
      <c r="D8211" s="4"/>
      <c r="E8211" s="4"/>
      <c r="F8211" s="4"/>
    </row>
    <row r="8212" spans="1:6" x14ac:dyDescent="0.4">
      <c r="A8212" s="4"/>
      <c r="B8212" s="4"/>
      <c r="D8212" s="4"/>
      <c r="E8212" s="4"/>
      <c r="F8212" s="4"/>
    </row>
    <row r="8213" spans="1:6" x14ac:dyDescent="0.4">
      <c r="A8213" s="4"/>
      <c r="B8213" s="4"/>
      <c r="D8213" s="4"/>
      <c r="E8213" s="4"/>
      <c r="F8213" s="4"/>
    </row>
    <row r="8214" spans="1:6" x14ac:dyDescent="0.4">
      <c r="A8214" s="4"/>
      <c r="B8214" s="4"/>
      <c r="D8214" s="4"/>
      <c r="E8214" s="4"/>
      <c r="F8214" s="4"/>
    </row>
    <row r="8215" spans="1:6" x14ac:dyDescent="0.4">
      <c r="A8215" s="4"/>
      <c r="B8215" s="4"/>
      <c r="D8215" s="4"/>
      <c r="E8215" s="4"/>
      <c r="F8215" s="4"/>
    </row>
    <row r="8216" spans="1:6" x14ac:dyDescent="0.4">
      <c r="A8216" s="4"/>
      <c r="B8216" s="4"/>
      <c r="D8216" s="4"/>
      <c r="E8216" s="4"/>
      <c r="F8216" s="4"/>
    </row>
    <row r="8217" spans="1:6" x14ac:dyDescent="0.4">
      <c r="A8217" s="4"/>
      <c r="B8217" s="4"/>
      <c r="D8217" s="4"/>
      <c r="E8217" s="4"/>
      <c r="F8217" s="4"/>
    </row>
    <row r="8218" spans="1:6" x14ac:dyDescent="0.4">
      <c r="A8218" s="4"/>
      <c r="B8218" s="4"/>
      <c r="D8218" s="4"/>
      <c r="E8218" s="4"/>
      <c r="F8218" s="4"/>
    </row>
    <row r="8219" spans="1:6" x14ac:dyDescent="0.4">
      <c r="A8219" s="4"/>
      <c r="B8219" s="4"/>
      <c r="D8219" s="4"/>
      <c r="E8219" s="4"/>
      <c r="F8219" s="4"/>
    </row>
    <row r="8220" spans="1:6" x14ac:dyDescent="0.4">
      <c r="A8220" s="4"/>
      <c r="B8220" s="4"/>
      <c r="D8220" s="4"/>
      <c r="E8220" s="4"/>
      <c r="F8220" s="4"/>
    </row>
    <row r="8221" spans="1:6" x14ac:dyDescent="0.4">
      <c r="A8221" s="4"/>
      <c r="B8221" s="4"/>
      <c r="D8221" s="4"/>
      <c r="E8221" s="4"/>
      <c r="F8221" s="4"/>
    </row>
    <row r="8222" spans="1:6" x14ac:dyDescent="0.4">
      <c r="A8222" s="4"/>
      <c r="B8222" s="4"/>
      <c r="D8222" s="4"/>
      <c r="E8222" s="4"/>
      <c r="F8222" s="4"/>
    </row>
    <row r="8223" spans="1:6" x14ac:dyDescent="0.4">
      <c r="A8223" s="4"/>
      <c r="B8223" s="4"/>
      <c r="D8223" s="4"/>
      <c r="E8223" s="4"/>
      <c r="F8223" s="4"/>
    </row>
    <row r="8224" spans="1:6" x14ac:dyDescent="0.4">
      <c r="A8224" s="4"/>
      <c r="B8224" s="4"/>
      <c r="D8224" s="4"/>
      <c r="E8224" s="4"/>
      <c r="F8224" s="4"/>
    </row>
    <row r="8225" spans="1:6" x14ac:dyDescent="0.4">
      <c r="A8225" s="4"/>
      <c r="B8225" s="4"/>
      <c r="D8225" s="4"/>
      <c r="E8225" s="4"/>
      <c r="F8225" s="4"/>
    </row>
    <row r="8226" spans="1:6" x14ac:dyDescent="0.4">
      <c r="A8226" s="4"/>
      <c r="B8226" s="4"/>
      <c r="D8226" s="4"/>
      <c r="E8226" s="4"/>
      <c r="F8226" s="4"/>
    </row>
    <row r="8227" spans="1:6" x14ac:dyDescent="0.4">
      <c r="A8227" s="4"/>
      <c r="B8227" s="4"/>
      <c r="D8227" s="4"/>
      <c r="E8227" s="4"/>
      <c r="F8227" s="4"/>
    </row>
    <row r="8228" spans="1:6" x14ac:dyDescent="0.4">
      <c r="A8228" s="4"/>
      <c r="B8228" s="4"/>
      <c r="D8228" s="4"/>
      <c r="E8228" s="4"/>
      <c r="F8228" s="4"/>
    </row>
    <row r="8229" spans="1:6" x14ac:dyDescent="0.4">
      <c r="A8229" s="4"/>
      <c r="B8229" s="4"/>
      <c r="D8229" s="4"/>
      <c r="E8229" s="4"/>
      <c r="F8229" s="4"/>
    </row>
    <row r="8230" spans="1:6" x14ac:dyDescent="0.4">
      <c r="A8230" s="4"/>
      <c r="B8230" s="4"/>
      <c r="D8230" s="4"/>
      <c r="E8230" s="4"/>
      <c r="F8230" s="4"/>
    </row>
    <row r="8231" spans="1:6" x14ac:dyDescent="0.4">
      <c r="A8231" s="4"/>
      <c r="B8231" s="4"/>
      <c r="D8231" s="4"/>
      <c r="E8231" s="4"/>
      <c r="F8231" s="4"/>
    </row>
    <row r="8232" spans="1:6" x14ac:dyDescent="0.4">
      <c r="A8232" s="4"/>
      <c r="B8232" s="4"/>
      <c r="D8232" s="4"/>
      <c r="E8232" s="4"/>
      <c r="F8232" s="4"/>
    </row>
    <row r="8233" spans="1:6" x14ac:dyDescent="0.4">
      <c r="A8233" s="4"/>
      <c r="B8233" s="4"/>
      <c r="D8233" s="4"/>
      <c r="E8233" s="4"/>
      <c r="F8233" s="4"/>
    </row>
    <row r="8234" spans="1:6" x14ac:dyDescent="0.4">
      <c r="A8234" s="4"/>
      <c r="B8234" s="4"/>
      <c r="D8234" s="4"/>
      <c r="E8234" s="4"/>
      <c r="F8234" s="4"/>
    </row>
    <row r="8235" spans="1:6" x14ac:dyDescent="0.4">
      <c r="A8235" s="4"/>
      <c r="B8235" s="4"/>
      <c r="D8235" s="4"/>
      <c r="E8235" s="4"/>
      <c r="F8235" s="4"/>
    </row>
    <row r="8236" spans="1:6" x14ac:dyDescent="0.4">
      <c r="A8236" s="4"/>
      <c r="B8236" s="4"/>
      <c r="D8236" s="4"/>
      <c r="E8236" s="4"/>
      <c r="F8236" s="4"/>
    </row>
    <row r="8237" spans="1:6" x14ac:dyDescent="0.4">
      <c r="A8237" s="4"/>
      <c r="B8237" s="4"/>
      <c r="D8237" s="4"/>
      <c r="E8237" s="4"/>
      <c r="F8237" s="4"/>
    </row>
    <row r="8238" spans="1:6" x14ac:dyDescent="0.4">
      <c r="A8238" s="4"/>
      <c r="B8238" s="4"/>
      <c r="D8238" s="4"/>
      <c r="E8238" s="4"/>
      <c r="F8238" s="4"/>
    </row>
    <row r="8239" spans="1:6" x14ac:dyDescent="0.4">
      <c r="A8239" s="4"/>
      <c r="B8239" s="4"/>
      <c r="D8239" s="4"/>
      <c r="E8239" s="4"/>
      <c r="F8239" s="4"/>
    </row>
    <row r="8240" spans="1:6" x14ac:dyDescent="0.4">
      <c r="A8240" s="4"/>
      <c r="B8240" s="4"/>
      <c r="D8240" s="4"/>
      <c r="E8240" s="4"/>
      <c r="F8240" s="4"/>
    </row>
    <row r="8241" spans="1:6" x14ac:dyDescent="0.4">
      <c r="A8241" s="4"/>
      <c r="B8241" s="4"/>
      <c r="D8241" s="4"/>
      <c r="E8241" s="4"/>
      <c r="F8241" s="4"/>
    </row>
    <row r="8242" spans="1:6" x14ac:dyDescent="0.4">
      <c r="A8242" s="4"/>
      <c r="B8242" s="4"/>
      <c r="D8242" s="4"/>
      <c r="E8242" s="4"/>
      <c r="F8242" s="4"/>
    </row>
    <row r="8243" spans="1:6" x14ac:dyDescent="0.4">
      <c r="A8243" s="4"/>
      <c r="B8243" s="4"/>
      <c r="D8243" s="4"/>
      <c r="E8243" s="4"/>
      <c r="F8243" s="4"/>
    </row>
    <row r="8244" spans="1:6" x14ac:dyDescent="0.4">
      <c r="A8244" s="4"/>
      <c r="B8244" s="4"/>
      <c r="D8244" s="4"/>
      <c r="E8244" s="4"/>
      <c r="F8244" s="4"/>
    </row>
    <row r="8245" spans="1:6" x14ac:dyDescent="0.4">
      <c r="A8245" s="4"/>
      <c r="B8245" s="4"/>
      <c r="D8245" s="4"/>
      <c r="E8245" s="4"/>
      <c r="F8245" s="4"/>
    </row>
    <row r="8246" spans="1:6" x14ac:dyDescent="0.4">
      <c r="A8246" s="4"/>
      <c r="B8246" s="4"/>
      <c r="D8246" s="4"/>
      <c r="E8246" s="4"/>
      <c r="F8246" s="4"/>
    </row>
    <row r="8247" spans="1:6" x14ac:dyDescent="0.4">
      <c r="A8247" s="4"/>
      <c r="B8247" s="4"/>
      <c r="D8247" s="4"/>
      <c r="E8247" s="4"/>
      <c r="F8247" s="4"/>
    </row>
    <row r="8248" spans="1:6" x14ac:dyDescent="0.4">
      <c r="A8248" s="4"/>
      <c r="B8248" s="4"/>
      <c r="D8248" s="4"/>
      <c r="E8248" s="4"/>
      <c r="F8248" s="4"/>
    </row>
    <row r="8249" spans="1:6" x14ac:dyDescent="0.4">
      <c r="A8249" s="4"/>
      <c r="B8249" s="4"/>
      <c r="D8249" s="4"/>
      <c r="E8249" s="4"/>
      <c r="F8249" s="4"/>
    </row>
    <row r="8250" spans="1:6" x14ac:dyDescent="0.4">
      <c r="A8250" s="4"/>
      <c r="B8250" s="4"/>
      <c r="D8250" s="4"/>
      <c r="E8250" s="4"/>
      <c r="F8250" s="4"/>
    </row>
    <row r="8251" spans="1:6" x14ac:dyDescent="0.4">
      <c r="A8251" s="4"/>
      <c r="B8251" s="4"/>
      <c r="D8251" s="4"/>
      <c r="E8251" s="4"/>
      <c r="F8251" s="4"/>
    </row>
    <row r="8252" spans="1:6" x14ac:dyDescent="0.4">
      <c r="A8252" s="4"/>
      <c r="B8252" s="4"/>
      <c r="D8252" s="4"/>
      <c r="E8252" s="4"/>
      <c r="F8252" s="4"/>
    </row>
    <row r="8253" spans="1:6" x14ac:dyDescent="0.4">
      <c r="A8253" s="4"/>
      <c r="B8253" s="4"/>
      <c r="D8253" s="4"/>
      <c r="E8253" s="4"/>
      <c r="F8253" s="4"/>
    </row>
    <row r="8254" spans="1:6" x14ac:dyDescent="0.4">
      <c r="A8254" s="4"/>
      <c r="B8254" s="4"/>
      <c r="D8254" s="4"/>
      <c r="E8254" s="4"/>
      <c r="F8254" s="4"/>
    </row>
    <row r="8255" spans="1:6" x14ac:dyDescent="0.4">
      <c r="A8255" s="4"/>
      <c r="B8255" s="4"/>
      <c r="D8255" s="4"/>
      <c r="E8255" s="4"/>
      <c r="F8255" s="4"/>
    </row>
    <row r="8256" spans="1:6" x14ac:dyDescent="0.4">
      <c r="A8256" s="4"/>
      <c r="B8256" s="4"/>
      <c r="D8256" s="4"/>
      <c r="E8256" s="4"/>
      <c r="F8256" s="4"/>
    </row>
    <row r="8257" spans="1:6" x14ac:dyDescent="0.4">
      <c r="A8257" s="4"/>
      <c r="B8257" s="4"/>
      <c r="D8257" s="4"/>
      <c r="E8257" s="4"/>
      <c r="F8257" s="4"/>
    </row>
    <row r="8258" spans="1:6" x14ac:dyDescent="0.4">
      <c r="A8258" s="4"/>
      <c r="B8258" s="4"/>
      <c r="D8258" s="4"/>
      <c r="E8258" s="4"/>
      <c r="F8258" s="4"/>
    </row>
    <row r="8259" spans="1:6" x14ac:dyDescent="0.4">
      <c r="A8259" s="4"/>
      <c r="B8259" s="4"/>
      <c r="D8259" s="4"/>
      <c r="E8259" s="4"/>
      <c r="F8259" s="4"/>
    </row>
    <row r="8260" spans="1:6" x14ac:dyDescent="0.4">
      <c r="A8260" s="4"/>
      <c r="B8260" s="4"/>
      <c r="D8260" s="4"/>
      <c r="E8260" s="4"/>
      <c r="F8260" s="4"/>
    </row>
    <row r="8261" spans="1:6" x14ac:dyDescent="0.4">
      <c r="A8261" s="4"/>
      <c r="B8261" s="4"/>
      <c r="D8261" s="4"/>
      <c r="E8261" s="4"/>
      <c r="F8261" s="4"/>
    </row>
    <row r="8262" spans="1:6" x14ac:dyDescent="0.4">
      <c r="A8262" s="4"/>
      <c r="B8262" s="4"/>
      <c r="D8262" s="4"/>
      <c r="E8262" s="4"/>
      <c r="F8262" s="4"/>
    </row>
    <row r="8263" spans="1:6" x14ac:dyDescent="0.4">
      <c r="A8263" s="4"/>
      <c r="B8263" s="4"/>
      <c r="D8263" s="4"/>
      <c r="E8263" s="4"/>
      <c r="F8263" s="4"/>
    </row>
    <row r="8264" spans="1:6" x14ac:dyDescent="0.4">
      <c r="A8264" s="4"/>
      <c r="B8264" s="4"/>
      <c r="D8264" s="4"/>
      <c r="E8264" s="4"/>
      <c r="F8264" s="4"/>
    </row>
    <row r="8265" spans="1:6" x14ac:dyDescent="0.4">
      <c r="A8265" s="4"/>
      <c r="B8265" s="4"/>
      <c r="D8265" s="4"/>
      <c r="E8265" s="4"/>
      <c r="F8265" s="4"/>
    </row>
    <row r="8266" spans="1:6" x14ac:dyDescent="0.4">
      <c r="A8266" s="4"/>
      <c r="B8266" s="4"/>
      <c r="D8266" s="4"/>
      <c r="E8266" s="4"/>
      <c r="F8266" s="4"/>
    </row>
    <row r="8267" spans="1:6" x14ac:dyDescent="0.4">
      <c r="A8267" s="4"/>
      <c r="B8267" s="4"/>
      <c r="D8267" s="4"/>
      <c r="E8267" s="4"/>
      <c r="F8267" s="4"/>
    </row>
    <row r="8268" spans="1:6" x14ac:dyDescent="0.4">
      <c r="A8268" s="4"/>
      <c r="B8268" s="4"/>
      <c r="D8268" s="4"/>
      <c r="E8268" s="4"/>
      <c r="F8268" s="4"/>
    </row>
    <row r="8269" spans="1:6" x14ac:dyDescent="0.4">
      <c r="A8269" s="4"/>
      <c r="B8269" s="4"/>
      <c r="D8269" s="4"/>
      <c r="E8269" s="4"/>
      <c r="F8269" s="4"/>
    </row>
    <row r="8270" spans="1:6" x14ac:dyDescent="0.4">
      <c r="A8270" s="4"/>
      <c r="B8270" s="4"/>
      <c r="D8270" s="4"/>
      <c r="E8270" s="4"/>
      <c r="F8270" s="4"/>
    </row>
    <row r="8271" spans="1:6" x14ac:dyDescent="0.4">
      <c r="A8271" s="4"/>
      <c r="B8271" s="4"/>
      <c r="D8271" s="4"/>
      <c r="E8271" s="4"/>
      <c r="F8271" s="4"/>
    </row>
    <row r="8272" spans="1:6" x14ac:dyDescent="0.4">
      <c r="A8272" s="4"/>
      <c r="B8272" s="4"/>
      <c r="D8272" s="4"/>
      <c r="E8272" s="4"/>
      <c r="F8272" s="4"/>
    </row>
    <row r="8273" spans="1:6" x14ac:dyDescent="0.4">
      <c r="A8273" s="4"/>
      <c r="B8273" s="4"/>
      <c r="D8273" s="4"/>
      <c r="E8273" s="4"/>
      <c r="F8273" s="4"/>
    </row>
    <row r="8274" spans="1:6" x14ac:dyDescent="0.4">
      <c r="A8274" s="4"/>
      <c r="B8274" s="4"/>
      <c r="D8274" s="4"/>
      <c r="E8274" s="4"/>
      <c r="F8274" s="4"/>
    </row>
    <row r="8275" spans="1:6" x14ac:dyDescent="0.4">
      <c r="A8275" s="4"/>
      <c r="B8275" s="4"/>
      <c r="D8275" s="4"/>
      <c r="E8275" s="4"/>
      <c r="F8275" s="4"/>
    </row>
    <row r="8276" spans="1:6" x14ac:dyDescent="0.4">
      <c r="A8276" s="4"/>
      <c r="B8276" s="4"/>
      <c r="D8276" s="4"/>
      <c r="E8276" s="4"/>
      <c r="F8276" s="4"/>
    </row>
    <row r="8277" spans="1:6" x14ac:dyDescent="0.4">
      <c r="A8277" s="4"/>
      <c r="B8277" s="4"/>
      <c r="D8277" s="4"/>
      <c r="E8277" s="4"/>
      <c r="F8277" s="4"/>
    </row>
    <row r="8278" spans="1:6" x14ac:dyDescent="0.4">
      <c r="A8278" s="4"/>
      <c r="B8278" s="4"/>
      <c r="D8278" s="4"/>
      <c r="E8278" s="4"/>
      <c r="F8278" s="4"/>
    </row>
    <row r="8279" spans="1:6" x14ac:dyDescent="0.4">
      <c r="A8279" s="4"/>
      <c r="B8279" s="4"/>
      <c r="D8279" s="4"/>
      <c r="E8279" s="4"/>
      <c r="F8279" s="4"/>
    </row>
    <row r="8280" spans="1:6" x14ac:dyDescent="0.4">
      <c r="A8280" s="4"/>
      <c r="B8280" s="4"/>
      <c r="D8280" s="4"/>
      <c r="E8280" s="4"/>
      <c r="F8280" s="4"/>
    </row>
    <row r="8281" spans="1:6" x14ac:dyDescent="0.4">
      <c r="A8281" s="4"/>
      <c r="B8281" s="4"/>
      <c r="D8281" s="4"/>
      <c r="E8281" s="4"/>
      <c r="F8281" s="4"/>
    </row>
    <row r="8282" spans="1:6" x14ac:dyDescent="0.4">
      <c r="A8282" s="4"/>
      <c r="B8282" s="4"/>
      <c r="D8282" s="4"/>
      <c r="E8282" s="4"/>
      <c r="F8282" s="4"/>
    </row>
    <row r="8283" spans="1:6" x14ac:dyDescent="0.4">
      <c r="A8283" s="4"/>
      <c r="B8283" s="4"/>
      <c r="D8283" s="4"/>
      <c r="E8283" s="4"/>
      <c r="F8283" s="4"/>
    </row>
    <row r="8284" spans="1:6" x14ac:dyDescent="0.4">
      <c r="A8284" s="4"/>
      <c r="B8284" s="4"/>
      <c r="D8284" s="4"/>
      <c r="E8284" s="4"/>
      <c r="F8284" s="4"/>
    </row>
    <row r="8285" spans="1:6" x14ac:dyDescent="0.4">
      <c r="A8285" s="4"/>
      <c r="B8285" s="4"/>
      <c r="D8285" s="4"/>
      <c r="E8285" s="4"/>
      <c r="F8285" s="4"/>
    </row>
    <row r="8286" spans="1:6" x14ac:dyDescent="0.4">
      <c r="A8286" s="4"/>
      <c r="B8286" s="4"/>
      <c r="D8286" s="4"/>
      <c r="E8286" s="4"/>
      <c r="F8286" s="4"/>
    </row>
    <row r="8287" spans="1:6" x14ac:dyDescent="0.4">
      <c r="A8287" s="4"/>
      <c r="B8287" s="4"/>
      <c r="D8287" s="4"/>
      <c r="E8287" s="4"/>
      <c r="F8287" s="4"/>
    </row>
    <row r="8288" spans="1:6" x14ac:dyDescent="0.4">
      <c r="A8288" s="4"/>
      <c r="B8288" s="4"/>
      <c r="D8288" s="4"/>
      <c r="E8288" s="4"/>
      <c r="F8288" s="4"/>
    </row>
    <row r="8289" spans="1:6" x14ac:dyDescent="0.4">
      <c r="A8289" s="4"/>
      <c r="B8289" s="4"/>
      <c r="D8289" s="4"/>
      <c r="E8289" s="4"/>
      <c r="F8289" s="4"/>
    </row>
    <row r="8290" spans="1:6" x14ac:dyDescent="0.4">
      <c r="A8290" s="4"/>
      <c r="B8290" s="4"/>
      <c r="D8290" s="4"/>
      <c r="E8290" s="4"/>
      <c r="F8290" s="4"/>
    </row>
    <row r="8291" spans="1:6" x14ac:dyDescent="0.4">
      <c r="A8291" s="4"/>
      <c r="B8291" s="4"/>
      <c r="D8291" s="4"/>
      <c r="E8291" s="4"/>
      <c r="F8291" s="4"/>
    </row>
    <row r="8292" spans="1:6" x14ac:dyDescent="0.4">
      <c r="A8292" s="4"/>
      <c r="B8292" s="4"/>
      <c r="D8292" s="4"/>
      <c r="E8292" s="4"/>
      <c r="F8292" s="4"/>
    </row>
    <row r="8293" spans="1:6" x14ac:dyDescent="0.4">
      <c r="A8293" s="4"/>
      <c r="B8293" s="4"/>
      <c r="D8293" s="4"/>
      <c r="E8293" s="4"/>
      <c r="F8293" s="4"/>
    </row>
    <row r="8294" spans="1:6" x14ac:dyDescent="0.4">
      <c r="A8294" s="4"/>
      <c r="B8294" s="4"/>
      <c r="D8294" s="4"/>
      <c r="E8294" s="4"/>
      <c r="F8294" s="4"/>
    </row>
    <row r="8295" spans="1:6" x14ac:dyDescent="0.4">
      <c r="A8295" s="4"/>
      <c r="B8295" s="4"/>
      <c r="D8295" s="4"/>
      <c r="E8295" s="4"/>
      <c r="F8295" s="4"/>
    </row>
    <row r="8296" spans="1:6" x14ac:dyDescent="0.4">
      <c r="A8296" s="4"/>
      <c r="B8296" s="4"/>
      <c r="D8296" s="4"/>
      <c r="E8296" s="4"/>
      <c r="F8296" s="4"/>
    </row>
    <row r="8297" spans="1:6" x14ac:dyDescent="0.4">
      <c r="A8297" s="4"/>
      <c r="B8297" s="4"/>
      <c r="D8297" s="4"/>
      <c r="E8297" s="4"/>
      <c r="F8297" s="4"/>
    </row>
    <row r="8298" spans="1:6" x14ac:dyDescent="0.4">
      <c r="A8298" s="4"/>
      <c r="B8298" s="4"/>
      <c r="D8298" s="4"/>
      <c r="E8298" s="4"/>
      <c r="F8298" s="4"/>
    </row>
    <row r="8299" spans="1:6" x14ac:dyDescent="0.4">
      <c r="A8299" s="4"/>
      <c r="B8299" s="4"/>
      <c r="D8299" s="4"/>
      <c r="E8299" s="4"/>
      <c r="F8299" s="4"/>
    </row>
    <row r="8300" spans="1:6" x14ac:dyDescent="0.4">
      <c r="A8300" s="4"/>
      <c r="B8300" s="4"/>
      <c r="D8300" s="4"/>
      <c r="E8300" s="4"/>
      <c r="F8300" s="4"/>
    </row>
    <row r="8301" spans="1:6" x14ac:dyDescent="0.4">
      <c r="A8301" s="4"/>
      <c r="B8301" s="4"/>
      <c r="D8301" s="4"/>
      <c r="E8301" s="4"/>
      <c r="F8301" s="4"/>
    </row>
    <row r="8302" spans="1:6" x14ac:dyDescent="0.4">
      <c r="A8302" s="4"/>
      <c r="B8302" s="4"/>
      <c r="D8302" s="4"/>
      <c r="E8302" s="4"/>
      <c r="F8302" s="4"/>
    </row>
    <row r="8303" spans="1:6" x14ac:dyDescent="0.4">
      <c r="A8303" s="4"/>
      <c r="B8303" s="4"/>
      <c r="D8303" s="4"/>
      <c r="E8303" s="4"/>
      <c r="F8303" s="4"/>
    </row>
    <row r="8304" spans="1:6" x14ac:dyDescent="0.4">
      <c r="A8304" s="4"/>
      <c r="B8304" s="4"/>
      <c r="D8304" s="4"/>
      <c r="E8304" s="4"/>
      <c r="F8304" s="4"/>
    </row>
    <row r="8305" spans="1:6" x14ac:dyDescent="0.4">
      <c r="A8305" s="4"/>
      <c r="B8305" s="4"/>
      <c r="D8305" s="4"/>
      <c r="E8305" s="4"/>
      <c r="F8305" s="4"/>
    </row>
    <row r="8306" spans="1:6" x14ac:dyDescent="0.4">
      <c r="A8306" s="4"/>
      <c r="B8306" s="4"/>
      <c r="D8306" s="4"/>
      <c r="E8306" s="4"/>
      <c r="F8306" s="4"/>
    </row>
    <row r="8307" spans="1:6" x14ac:dyDescent="0.4">
      <c r="A8307" s="4"/>
      <c r="B8307" s="4"/>
      <c r="D8307" s="4"/>
      <c r="E8307" s="4"/>
      <c r="F8307" s="4"/>
    </row>
    <row r="8308" spans="1:6" x14ac:dyDescent="0.4">
      <c r="A8308" s="4"/>
      <c r="B8308" s="4"/>
      <c r="D8308" s="4"/>
      <c r="E8308" s="4"/>
      <c r="F8308" s="4"/>
    </row>
    <row r="8309" spans="1:6" x14ac:dyDescent="0.4">
      <c r="A8309" s="4"/>
      <c r="B8309" s="4"/>
      <c r="D8309" s="4"/>
      <c r="E8309" s="4"/>
      <c r="F8309" s="4"/>
    </row>
    <row r="8310" spans="1:6" x14ac:dyDescent="0.4">
      <c r="A8310" s="4"/>
      <c r="B8310" s="4"/>
      <c r="D8310" s="4"/>
      <c r="E8310" s="4"/>
      <c r="F8310" s="4"/>
    </row>
    <row r="8311" spans="1:6" x14ac:dyDescent="0.4">
      <c r="A8311" s="4"/>
      <c r="B8311" s="4"/>
      <c r="D8311" s="4"/>
      <c r="E8311" s="4"/>
      <c r="F8311" s="4"/>
    </row>
    <row r="8312" spans="1:6" x14ac:dyDescent="0.4">
      <c r="A8312" s="4"/>
      <c r="B8312" s="4"/>
      <c r="D8312" s="4"/>
      <c r="E8312" s="4"/>
      <c r="F8312" s="4"/>
    </row>
    <row r="8313" spans="1:6" x14ac:dyDescent="0.4">
      <c r="A8313" s="4"/>
      <c r="B8313" s="4"/>
      <c r="D8313" s="4"/>
      <c r="E8313" s="4"/>
      <c r="F8313" s="4"/>
    </row>
    <row r="8314" spans="1:6" x14ac:dyDescent="0.4">
      <c r="A8314" s="4"/>
      <c r="B8314" s="4"/>
      <c r="D8314" s="4"/>
      <c r="E8314" s="4"/>
      <c r="F8314" s="4"/>
    </row>
    <row r="8315" spans="1:6" x14ac:dyDescent="0.4">
      <c r="A8315" s="4"/>
      <c r="B8315" s="4"/>
      <c r="D8315" s="4"/>
      <c r="E8315" s="4"/>
      <c r="F8315" s="4"/>
    </row>
    <row r="8316" spans="1:6" x14ac:dyDescent="0.4">
      <c r="A8316" s="4"/>
      <c r="B8316" s="4"/>
      <c r="D8316" s="4"/>
      <c r="E8316" s="4"/>
      <c r="F8316" s="4"/>
    </row>
    <row r="8317" spans="1:6" x14ac:dyDescent="0.4">
      <c r="A8317" s="4"/>
      <c r="B8317" s="4"/>
      <c r="D8317" s="4"/>
      <c r="E8317" s="4"/>
      <c r="F8317" s="4"/>
    </row>
    <row r="8318" spans="1:6" x14ac:dyDescent="0.4">
      <c r="A8318" s="4"/>
      <c r="B8318" s="4"/>
      <c r="D8318" s="4"/>
      <c r="E8318" s="4"/>
      <c r="F8318" s="4"/>
    </row>
    <row r="8319" spans="1:6" x14ac:dyDescent="0.4">
      <c r="A8319" s="4"/>
      <c r="B8319" s="4"/>
      <c r="D8319" s="4"/>
      <c r="E8319" s="4"/>
      <c r="F8319" s="4"/>
    </row>
    <row r="8320" spans="1:6" x14ac:dyDescent="0.4">
      <c r="A8320" s="4"/>
      <c r="B8320" s="4"/>
      <c r="D8320" s="4"/>
      <c r="E8320" s="4"/>
      <c r="F8320" s="4"/>
    </row>
    <row r="8321" spans="1:6" x14ac:dyDescent="0.4">
      <c r="A8321" s="4"/>
      <c r="B8321" s="4"/>
      <c r="D8321" s="4"/>
      <c r="E8321" s="4"/>
      <c r="F8321" s="4"/>
    </row>
    <row r="8322" spans="1:6" x14ac:dyDescent="0.4">
      <c r="A8322" s="4"/>
      <c r="B8322" s="4"/>
      <c r="D8322" s="4"/>
      <c r="E8322" s="4"/>
      <c r="F8322" s="4"/>
    </row>
    <row r="8323" spans="1:6" x14ac:dyDescent="0.4">
      <c r="A8323" s="4"/>
      <c r="B8323" s="4"/>
      <c r="D8323" s="4"/>
      <c r="E8323" s="4"/>
      <c r="F8323" s="4"/>
    </row>
    <row r="8324" spans="1:6" x14ac:dyDescent="0.4">
      <c r="A8324" s="4"/>
      <c r="B8324" s="4"/>
      <c r="D8324" s="4"/>
      <c r="E8324" s="4"/>
      <c r="F8324" s="4"/>
    </row>
    <row r="8325" spans="1:6" x14ac:dyDescent="0.4">
      <c r="A8325" s="4"/>
      <c r="B8325" s="4"/>
      <c r="D8325" s="4"/>
      <c r="E8325" s="4"/>
      <c r="F8325" s="4"/>
    </row>
    <row r="8326" spans="1:6" x14ac:dyDescent="0.4">
      <c r="A8326" s="4"/>
      <c r="B8326" s="4"/>
      <c r="D8326" s="4"/>
      <c r="E8326" s="4"/>
      <c r="F8326" s="4"/>
    </row>
    <row r="8327" spans="1:6" x14ac:dyDescent="0.4">
      <c r="A8327" s="4"/>
      <c r="B8327" s="4"/>
      <c r="D8327" s="4"/>
      <c r="E8327" s="4"/>
      <c r="F8327" s="4"/>
    </row>
    <row r="8328" spans="1:6" x14ac:dyDescent="0.4">
      <c r="A8328" s="4"/>
      <c r="B8328" s="4"/>
      <c r="D8328" s="4"/>
      <c r="E8328" s="4"/>
      <c r="F8328" s="4"/>
    </row>
    <row r="8329" spans="1:6" x14ac:dyDescent="0.4">
      <c r="A8329" s="4"/>
      <c r="B8329" s="4"/>
      <c r="D8329" s="4"/>
      <c r="E8329" s="4"/>
      <c r="F8329" s="4"/>
    </row>
    <row r="8330" spans="1:6" x14ac:dyDescent="0.4">
      <c r="A8330" s="4"/>
      <c r="B8330" s="4"/>
      <c r="D8330" s="4"/>
      <c r="E8330" s="4"/>
      <c r="F8330" s="4"/>
    </row>
    <row r="8331" spans="1:6" x14ac:dyDescent="0.4">
      <c r="A8331" s="4"/>
      <c r="B8331" s="4"/>
      <c r="D8331" s="4"/>
      <c r="E8331" s="4"/>
      <c r="F8331" s="4"/>
    </row>
    <row r="8332" spans="1:6" x14ac:dyDescent="0.4">
      <c r="A8332" s="4"/>
      <c r="B8332" s="4"/>
      <c r="D8332" s="4"/>
      <c r="E8332" s="4"/>
      <c r="F8332" s="4"/>
    </row>
    <row r="8333" spans="1:6" x14ac:dyDescent="0.4">
      <c r="A8333" s="4"/>
      <c r="B8333" s="4"/>
      <c r="D8333" s="4"/>
      <c r="E8333" s="4"/>
      <c r="F8333" s="4"/>
    </row>
    <row r="8334" spans="1:6" x14ac:dyDescent="0.4">
      <c r="A8334" s="4"/>
      <c r="B8334" s="4"/>
      <c r="D8334" s="4"/>
      <c r="E8334" s="4"/>
      <c r="F8334" s="4"/>
    </row>
    <row r="8335" spans="1:6" x14ac:dyDescent="0.4">
      <c r="A8335" s="4"/>
      <c r="B8335" s="4"/>
      <c r="D8335" s="4"/>
      <c r="E8335" s="4"/>
      <c r="F8335" s="4"/>
    </row>
    <row r="8336" spans="1:6" x14ac:dyDescent="0.4">
      <c r="A8336" s="4"/>
      <c r="B8336" s="4"/>
      <c r="D8336" s="4"/>
      <c r="E8336" s="4"/>
      <c r="F8336" s="4"/>
    </row>
    <row r="8337" spans="1:6" x14ac:dyDescent="0.4">
      <c r="A8337" s="4"/>
      <c r="B8337" s="4"/>
      <c r="D8337" s="4"/>
      <c r="E8337" s="4"/>
      <c r="F8337" s="4"/>
    </row>
    <row r="8338" spans="1:6" x14ac:dyDescent="0.4">
      <c r="A8338" s="4"/>
      <c r="B8338" s="4"/>
      <c r="D8338" s="4"/>
      <c r="E8338" s="4"/>
      <c r="F8338" s="4"/>
    </row>
    <row r="8339" spans="1:6" x14ac:dyDescent="0.4">
      <c r="A8339" s="4"/>
      <c r="B8339" s="4"/>
      <c r="D8339" s="4"/>
      <c r="E8339" s="4"/>
      <c r="F8339" s="4"/>
    </row>
    <row r="8340" spans="1:6" x14ac:dyDescent="0.4">
      <c r="A8340" s="4"/>
      <c r="B8340" s="4"/>
      <c r="D8340" s="4"/>
      <c r="E8340" s="4"/>
      <c r="F8340" s="4"/>
    </row>
    <row r="8341" spans="1:6" x14ac:dyDescent="0.4">
      <c r="A8341" s="4"/>
      <c r="B8341" s="4"/>
      <c r="D8341" s="4"/>
      <c r="E8341" s="4"/>
      <c r="F8341" s="4"/>
    </row>
    <row r="8342" spans="1:6" x14ac:dyDescent="0.4">
      <c r="A8342" s="4"/>
      <c r="B8342" s="4"/>
      <c r="D8342" s="4"/>
      <c r="E8342" s="4"/>
      <c r="F8342" s="4"/>
    </row>
    <row r="8343" spans="1:6" x14ac:dyDescent="0.4">
      <c r="A8343" s="4"/>
      <c r="B8343" s="4"/>
      <c r="D8343" s="4"/>
      <c r="E8343" s="4"/>
      <c r="F8343" s="4"/>
    </row>
    <row r="8344" spans="1:6" x14ac:dyDescent="0.4">
      <c r="A8344" s="4"/>
      <c r="B8344" s="4"/>
      <c r="D8344" s="4"/>
      <c r="E8344" s="4"/>
      <c r="F8344" s="4"/>
    </row>
    <row r="8345" spans="1:6" x14ac:dyDescent="0.4">
      <c r="A8345" s="4"/>
      <c r="B8345" s="4"/>
      <c r="D8345" s="4"/>
      <c r="E8345" s="4"/>
      <c r="F8345" s="4"/>
    </row>
    <row r="8346" spans="1:6" x14ac:dyDescent="0.4">
      <c r="A8346" s="4"/>
      <c r="B8346" s="4"/>
      <c r="D8346" s="4"/>
      <c r="E8346" s="4"/>
      <c r="F8346" s="4"/>
    </row>
    <row r="8347" spans="1:6" x14ac:dyDescent="0.4">
      <c r="A8347" s="4"/>
      <c r="B8347" s="4"/>
      <c r="D8347" s="4"/>
      <c r="E8347" s="4"/>
      <c r="F8347" s="4"/>
    </row>
    <row r="8348" spans="1:6" x14ac:dyDescent="0.4">
      <c r="A8348" s="4"/>
      <c r="B8348" s="4"/>
      <c r="D8348" s="4"/>
      <c r="E8348" s="4"/>
      <c r="F8348" s="4"/>
    </row>
    <row r="8349" spans="1:6" x14ac:dyDescent="0.4">
      <c r="A8349" s="4"/>
      <c r="B8349" s="4"/>
      <c r="D8349" s="4"/>
      <c r="E8349" s="4"/>
      <c r="F8349" s="4"/>
    </row>
    <row r="8350" spans="1:6" x14ac:dyDescent="0.4">
      <c r="A8350" s="4"/>
      <c r="B8350" s="4"/>
      <c r="D8350" s="4"/>
      <c r="E8350" s="4"/>
      <c r="F8350" s="4"/>
    </row>
    <row r="8351" spans="1:6" x14ac:dyDescent="0.4">
      <c r="A8351" s="4"/>
      <c r="B8351" s="4"/>
      <c r="D8351" s="4"/>
      <c r="E8351" s="4"/>
      <c r="F8351" s="4"/>
    </row>
    <row r="8352" spans="1:6" x14ac:dyDescent="0.4">
      <c r="A8352" s="4"/>
      <c r="B8352" s="4"/>
      <c r="D8352" s="4"/>
      <c r="E8352" s="4"/>
      <c r="F8352" s="4"/>
    </row>
    <row r="8353" spans="1:6" x14ac:dyDescent="0.4">
      <c r="A8353" s="4"/>
      <c r="B8353" s="4"/>
      <c r="D8353" s="4"/>
      <c r="E8353" s="4"/>
      <c r="F8353" s="4"/>
    </row>
    <row r="8354" spans="1:6" x14ac:dyDescent="0.4">
      <c r="A8354" s="4"/>
      <c r="B8354" s="4"/>
      <c r="D8354" s="4"/>
      <c r="E8354" s="4"/>
      <c r="F8354" s="4"/>
    </row>
    <row r="8355" spans="1:6" x14ac:dyDescent="0.4">
      <c r="A8355" s="4"/>
      <c r="B8355" s="4"/>
      <c r="D8355" s="4"/>
      <c r="E8355" s="4"/>
      <c r="F8355" s="4"/>
    </row>
    <row r="8356" spans="1:6" x14ac:dyDescent="0.4">
      <c r="A8356" s="4"/>
      <c r="B8356" s="4"/>
      <c r="D8356" s="4"/>
      <c r="E8356" s="4"/>
      <c r="F8356" s="4"/>
    </row>
    <row r="8357" spans="1:6" x14ac:dyDescent="0.4">
      <c r="A8357" s="4"/>
      <c r="B8357" s="4"/>
      <c r="D8357" s="4"/>
      <c r="E8357" s="4"/>
      <c r="F8357" s="4"/>
    </row>
    <row r="8358" spans="1:6" x14ac:dyDescent="0.4">
      <c r="A8358" s="4"/>
      <c r="B8358" s="4"/>
      <c r="D8358" s="4"/>
      <c r="E8358" s="4"/>
      <c r="F8358" s="4"/>
    </row>
    <row r="8359" spans="1:6" x14ac:dyDescent="0.4">
      <c r="A8359" s="4"/>
      <c r="B8359" s="4"/>
      <c r="D8359" s="4"/>
      <c r="E8359" s="4"/>
      <c r="F8359" s="4"/>
    </row>
    <row r="8360" spans="1:6" x14ac:dyDescent="0.4">
      <c r="A8360" s="4"/>
      <c r="B8360" s="4"/>
      <c r="D8360" s="4"/>
      <c r="E8360" s="4"/>
      <c r="F8360" s="4"/>
    </row>
    <row r="8361" spans="1:6" x14ac:dyDescent="0.4">
      <c r="A8361" s="4"/>
      <c r="B8361" s="4"/>
      <c r="D8361" s="4"/>
      <c r="E8361" s="4"/>
      <c r="F8361" s="4"/>
    </row>
    <row r="8362" spans="1:6" x14ac:dyDescent="0.4">
      <c r="A8362" s="4"/>
      <c r="B8362" s="4"/>
      <c r="D8362" s="4"/>
      <c r="E8362" s="4"/>
      <c r="F8362" s="4"/>
    </row>
    <row r="8363" spans="1:6" x14ac:dyDescent="0.4">
      <c r="A8363" s="4"/>
      <c r="B8363" s="4"/>
      <c r="D8363" s="4"/>
      <c r="E8363" s="4"/>
      <c r="F8363" s="4"/>
    </row>
    <row r="8364" spans="1:6" x14ac:dyDescent="0.4">
      <c r="A8364" s="4"/>
      <c r="B8364" s="4"/>
      <c r="D8364" s="4"/>
      <c r="E8364" s="4"/>
      <c r="F8364" s="4"/>
    </row>
    <row r="8365" spans="1:6" x14ac:dyDescent="0.4">
      <c r="A8365" s="4"/>
      <c r="B8365" s="4"/>
      <c r="D8365" s="4"/>
      <c r="E8365" s="4"/>
      <c r="F8365" s="4"/>
    </row>
    <row r="8366" spans="1:6" x14ac:dyDescent="0.4">
      <c r="A8366" s="4"/>
      <c r="B8366" s="4"/>
      <c r="D8366" s="4"/>
      <c r="E8366" s="4"/>
      <c r="F8366" s="4"/>
    </row>
    <row r="8367" spans="1:6" x14ac:dyDescent="0.4">
      <c r="A8367" s="4"/>
      <c r="B8367" s="4"/>
      <c r="D8367" s="4"/>
      <c r="E8367" s="4"/>
      <c r="F8367" s="4"/>
    </row>
    <row r="8368" spans="1:6" x14ac:dyDescent="0.4">
      <c r="A8368" s="4"/>
      <c r="B8368" s="4"/>
      <c r="D8368" s="4"/>
      <c r="E8368" s="4"/>
      <c r="F8368" s="4"/>
    </row>
    <row r="8369" spans="1:6" x14ac:dyDescent="0.4">
      <c r="A8369" s="4"/>
      <c r="B8369" s="4"/>
      <c r="D8369" s="4"/>
      <c r="E8369" s="4"/>
      <c r="F8369" s="4"/>
    </row>
    <row r="8370" spans="1:6" x14ac:dyDescent="0.4">
      <c r="A8370" s="4"/>
      <c r="B8370" s="4"/>
      <c r="D8370" s="4"/>
      <c r="E8370" s="4"/>
      <c r="F8370" s="4"/>
    </row>
    <row r="8371" spans="1:6" x14ac:dyDescent="0.4">
      <c r="A8371" s="4"/>
      <c r="B8371" s="4"/>
      <c r="D8371" s="4"/>
      <c r="E8371" s="4"/>
      <c r="F8371" s="4"/>
    </row>
    <row r="8372" spans="1:6" x14ac:dyDescent="0.4">
      <c r="A8372" s="4"/>
      <c r="B8372" s="4"/>
      <c r="D8372" s="4"/>
      <c r="E8372" s="4"/>
      <c r="F8372" s="4"/>
    </row>
    <row r="8373" spans="1:6" x14ac:dyDescent="0.4">
      <c r="A8373" s="4"/>
      <c r="B8373" s="4"/>
      <c r="D8373" s="4"/>
      <c r="E8373" s="4"/>
      <c r="F8373" s="4"/>
    </row>
    <row r="8374" spans="1:6" x14ac:dyDescent="0.4">
      <c r="A8374" s="4"/>
      <c r="B8374" s="4"/>
      <c r="D8374" s="4"/>
      <c r="E8374" s="4"/>
      <c r="F8374" s="4"/>
    </row>
    <row r="8375" spans="1:6" x14ac:dyDescent="0.4">
      <c r="A8375" s="4"/>
      <c r="B8375" s="4"/>
      <c r="D8375" s="4"/>
      <c r="E8375" s="4"/>
      <c r="F8375" s="4"/>
    </row>
    <row r="8376" spans="1:6" x14ac:dyDescent="0.4">
      <c r="A8376" s="4"/>
      <c r="B8376" s="4"/>
      <c r="D8376" s="4"/>
      <c r="E8376" s="4"/>
      <c r="F8376" s="4"/>
    </row>
    <row r="8377" spans="1:6" x14ac:dyDescent="0.4">
      <c r="A8377" s="4"/>
      <c r="B8377" s="4"/>
      <c r="D8377" s="4"/>
      <c r="E8377" s="4"/>
      <c r="F8377" s="4"/>
    </row>
    <row r="8378" spans="1:6" x14ac:dyDescent="0.4">
      <c r="A8378" s="4"/>
      <c r="B8378" s="4"/>
      <c r="D8378" s="4"/>
      <c r="E8378" s="4"/>
      <c r="F8378" s="4"/>
    </row>
    <row r="8379" spans="1:6" x14ac:dyDescent="0.4">
      <c r="A8379" s="4"/>
      <c r="B8379" s="4"/>
      <c r="D8379" s="4"/>
      <c r="E8379" s="4"/>
      <c r="F8379" s="4"/>
    </row>
    <row r="8380" spans="1:6" x14ac:dyDescent="0.4">
      <c r="A8380" s="4"/>
      <c r="B8380" s="4"/>
      <c r="D8380" s="4"/>
      <c r="E8380" s="4"/>
      <c r="F8380" s="4"/>
    </row>
    <row r="8381" spans="1:6" x14ac:dyDescent="0.4">
      <c r="A8381" s="4"/>
      <c r="B8381" s="4"/>
      <c r="D8381" s="4"/>
      <c r="E8381" s="4"/>
      <c r="F8381" s="4"/>
    </row>
    <row r="8382" spans="1:6" x14ac:dyDescent="0.4">
      <c r="A8382" s="4"/>
      <c r="B8382" s="4"/>
      <c r="D8382" s="4"/>
      <c r="E8382" s="4"/>
      <c r="F8382" s="4"/>
    </row>
    <row r="8383" spans="1:6" x14ac:dyDescent="0.4">
      <c r="A8383" s="4"/>
      <c r="B8383" s="4"/>
      <c r="D8383" s="4"/>
      <c r="E8383" s="4"/>
      <c r="F8383" s="4"/>
    </row>
    <row r="8384" spans="1:6" x14ac:dyDescent="0.4">
      <c r="A8384" s="4"/>
      <c r="B8384" s="4"/>
      <c r="D8384" s="4"/>
      <c r="E8384" s="4"/>
      <c r="F8384" s="4"/>
    </row>
    <row r="8385" spans="1:6" x14ac:dyDescent="0.4">
      <c r="A8385" s="4"/>
      <c r="B8385" s="4"/>
      <c r="D8385" s="4"/>
      <c r="E8385" s="4"/>
      <c r="F8385" s="4"/>
    </row>
    <row r="8386" spans="1:6" x14ac:dyDescent="0.4">
      <c r="A8386" s="4"/>
      <c r="B8386" s="4"/>
      <c r="D8386" s="4"/>
      <c r="E8386" s="4"/>
      <c r="F8386" s="4"/>
    </row>
    <row r="8387" spans="1:6" x14ac:dyDescent="0.4">
      <c r="A8387" s="4"/>
      <c r="B8387" s="4"/>
      <c r="D8387" s="4"/>
      <c r="E8387" s="4"/>
      <c r="F8387" s="4"/>
    </row>
    <row r="8388" spans="1:6" x14ac:dyDescent="0.4">
      <c r="A8388" s="4"/>
      <c r="B8388" s="4"/>
      <c r="D8388" s="4"/>
      <c r="E8388" s="4"/>
      <c r="F8388" s="4"/>
    </row>
    <row r="8389" spans="1:6" x14ac:dyDescent="0.4">
      <c r="A8389" s="4"/>
      <c r="B8389" s="4"/>
      <c r="D8389" s="4"/>
      <c r="E8389" s="4"/>
      <c r="F8389" s="4"/>
    </row>
    <row r="8390" spans="1:6" x14ac:dyDescent="0.4">
      <c r="A8390" s="4"/>
      <c r="B8390" s="4"/>
      <c r="D8390" s="4"/>
      <c r="E8390" s="4"/>
      <c r="F8390" s="4"/>
    </row>
    <row r="8391" spans="1:6" x14ac:dyDescent="0.4">
      <c r="A8391" s="4"/>
      <c r="B8391" s="4"/>
      <c r="D8391" s="4"/>
      <c r="E8391" s="4"/>
      <c r="F8391" s="4"/>
    </row>
    <row r="8392" spans="1:6" x14ac:dyDescent="0.4">
      <c r="A8392" s="4"/>
      <c r="B8392" s="4"/>
      <c r="D8392" s="4"/>
      <c r="E8392" s="4"/>
      <c r="F8392" s="4"/>
    </row>
    <row r="8393" spans="1:6" x14ac:dyDescent="0.4">
      <c r="A8393" s="4"/>
      <c r="B8393" s="4"/>
      <c r="D8393" s="4"/>
      <c r="E8393" s="4"/>
      <c r="F8393" s="4"/>
    </row>
    <row r="8394" spans="1:6" x14ac:dyDescent="0.4">
      <c r="A8394" s="4"/>
      <c r="B8394" s="4"/>
      <c r="D8394" s="4"/>
      <c r="E8394" s="4"/>
      <c r="F8394" s="4"/>
    </row>
    <row r="8395" spans="1:6" x14ac:dyDescent="0.4">
      <c r="A8395" s="4"/>
      <c r="B8395" s="4"/>
      <c r="D8395" s="4"/>
      <c r="E8395" s="4"/>
      <c r="F8395" s="4"/>
    </row>
    <row r="8396" spans="1:6" x14ac:dyDescent="0.4">
      <c r="A8396" s="4"/>
      <c r="B8396" s="4"/>
      <c r="D8396" s="4"/>
      <c r="E8396" s="4"/>
      <c r="F8396" s="4"/>
    </row>
    <row r="8397" spans="1:6" x14ac:dyDescent="0.4">
      <c r="A8397" s="4"/>
      <c r="B8397" s="4"/>
      <c r="D8397" s="4"/>
      <c r="E8397" s="4"/>
      <c r="F8397" s="4"/>
    </row>
    <row r="8398" spans="1:6" x14ac:dyDescent="0.4">
      <c r="A8398" s="4"/>
      <c r="B8398" s="4"/>
      <c r="D8398" s="4"/>
      <c r="E8398" s="4"/>
      <c r="F8398" s="4"/>
    </row>
    <row r="8399" spans="1:6" x14ac:dyDescent="0.4">
      <c r="A8399" s="4"/>
      <c r="B8399" s="4"/>
      <c r="D8399" s="4"/>
      <c r="E8399" s="4"/>
      <c r="F8399" s="4"/>
    </row>
    <row r="8400" spans="1:6" x14ac:dyDescent="0.4">
      <c r="A8400" s="4"/>
      <c r="B8400" s="4"/>
      <c r="D8400" s="4"/>
      <c r="E8400" s="4"/>
      <c r="F8400" s="4"/>
    </row>
    <row r="8401" spans="1:6" x14ac:dyDescent="0.4">
      <c r="A8401" s="4"/>
      <c r="B8401" s="4"/>
      <c r="D8401" s="4"/>
      <c r="E8401" s="4"/>
      <c r="F8401" s="4"/>
    </row>
    <row r="8402" spans="1:6" x14ac:dyDescent="0.4">
      <c r="A8402" s="4"/>
      <c r="B8402" s="4"/>
      <c r="D8402" s="4"/>
      <c r="E8402" s="4"/>
      <c r="F8402" s="4"/>
    </row>
    <row r="8403" spans="1:6" x14ac:dyDescent="0.4">
      <c r="A8403" s="4"/>
      <c r="B8403" s="4"/>
      <c r="D8403" s="4"/>
      <c r="E8403" s="4"/>
      <c r="F8403" s="4"/>
    </row>
    <row r="8404" spans="1:6" x14ac:dyDescent="0.4">
      <c r="A8404" s="4"/>
      <c r="B8404" s="4"/>
      <c r="D8404" s="4"/>
      <c r="E8404" s="4"/>
      <c r="F8404" s="4"/>
    </row>
    <row r="8405" spans="1:6" x14ac:dyDescent="0.4">
      <c r="A8405" s="4"/>
      <c r="B8405" s="4"/>
      <c r="D8405" s="4"/>
      <c r="E8405" s="4"/>
      <c r="F8405" s="4"/>
    </row>
    <row r="8406" spans="1:6" x14ac:dyDescent="0.4">
      <c r="A8406" s="4"/>
      <c r="B8406" s="4"/>
      <c r="D8406" s="4"/>
      <c r="E8406" s="4"/>
      <c r="F8406" s="4"/>
    </row>
    <row r="8407" spans="1:6" x14ac:dyDescent="0.4">
      <c r="A8407" s="4"/>
      <c r="B8407" s="4"/>
      <c r="D8407" s="4"/>
      <c r="E8407" s="4"/>
      <c r="F8407" s="4"/>
    </row>
    <row r="8408" spans="1:6" x14ac:dyDescent="0.4">
      <c r="A8408" s="4"/>
      <c r="B8408" s="4"/>
      <c r="D8408" s="4"/>
      <c r="E8408" s="4"/>
      <c r="F8408" s="4"/>
    </row>
    <row r="8409" spans="1:6" x14ac:dyDescent="0.4">
      <c r="A8409" s="4"/>
      <c r="B8409" s="4"/>
      <c r="D8409" s="4"/>
      <c r="E8409" s="4"/>
      <c r="F8409" s="4"/>
    </row>
    <row r="8410" spans="1:6" x14ac:dyDescent="0.4">
      <c r="A8410" s="4"/>
      <c r="B8410" s="4"/>
      <c r="D8410" s="4"/>
      <c r="E8410" s="4"/>
      <c r="F8410" s="4"/>
    </row>
    <row r="8411" spans="1:6" x14ac:dyDescent="0.4">
      <c r="A8411" s="4"/>
      <c r="B8411" s="4"/>
      <c r="D8411" s="4"/>
      <c r="E8411" s="4"/>
      <c r="F8411" s="4"/>
    </row>
    <row r="8412" spans="1:6" x14ac:dyDescent="0.4">
      <c r="A8412" s="4"/>
      <c r="B8412" s="4"/>
      <c r="D8412" s="4"/>
      <c r="E8412" s="4"/>
      <c r="F8412" s="4"/>
    </row>
    <row r="8413" spans="1:6" x14ac:dyDescent="0.4">
      <c r="A8413" s="4"/>
      <c r="B8413" s="4"/>
      <c r="D8413" s="4"/>
      <c r="E8413" s="4"/>
      <c r="F8413" s="4"/>
    </row>
    <row r="8414" spans="1:6" x14ac:dyDescent="0.4">
      <c r="A8414" s="4"/>
      <c r="B8414" s="4"/>
      <c r="D8414" s="4"/>
      <c r="E8414" s="4"/>
      <c r="F8414" s="4"/>
    </row>
    <row r="8415" spans="1:6" x14ac:dyDescent="0.4">
      <c r="A8415" s="4"/>
      <c r="B8415" s="4"/>
      <c r="D8415" s="4"/>
      <c r="E8415" s="4"/>
      <c r="F8415" s="4"/>
    </row>
    <row r="8416" spans="1:6" x14ac:dyDescent="0.4">
      <c r="A8416" s="4"/>
      <c r="B8416" s="4"/>
      <c r="D8416" s="4"/>
      <c r="E8416" s="4"/>
      <c r="F8416" s="4"/>
    </row>
    <row r="8417" spans="1:6" x14ac:dyDescent="0.4">
      <c r="A8417" s="4"/>
      <c r="B8417" s="4"/>
      <c r="D8417" s="4"/>
      <c r="E8417" s="4"/>
      <c r="F8417" s="4"/>
    </row>
    <row r="8418" spans="1:6" x14ac:dyDescent="0.4">
      <c r="A8418" s="4"/>
      <c r="B8418" s="4"/>
      <c r="D8418" s="4"/>
      <c r="E8418" s="4"/>
      <c r="F8418" s="4"/>
    </row>
    <row r="8419" spans="1:6" x14ac:dyDescent="0.4">
      <c r="A8419" s="4"/>
      <c r="B8419" s="4"/>
      <c r="D8419" s="4"/>
      <c r="E8419" s="4"/>
      <c r="F8419" s="4"/>
    </row>
    <row r="8420" spans="1:6" x14ac:dyDescent="0.4">
      <c r="A8420" s="4"/>
      <c r="B8420" s="4"/>
      <c r="D8420" s="4"/>
      <c r="E8420" s="4"/>
      <c r="F8420" s="4"/>
    </row>
    <row r="8421" spans="1:6" x14ac:dyDescent="0.4">
      <c r="A8421" s="4"/>
      <c r="B8421" s="4"/>
      <c r="D8421" s="4"/>
      <c r="E8421" s="4"/>
      <c r="F8421" s="4"/>
    </row>
    <row r="8422" spans="1:6" x14ac:dyDescent="0.4">
      <c r="A8422" s="4"/>
      <c r="B8422" s="4"/>
      <c r="D8422" s="4"/>
      <c r="E8422" s="4"/>
      <c r="F8422" s="4"/>
    </row>
    <row r="8423" spans="1:6" x14ac:dyDescent="0.4">
      <c r="A8423" s="4"/>
      <c r="B8423" s="4"/>
      <c r="D8423" s="4"/>
      <c r="E8423" s="4"/>
      <c r="F8423" s="4"/>
    </row>
    <row r="8424" spans="1:6" x14ac:dyDescent="0.4">
      <c r="A8424" s="4"/>
      <c r="B8424" s="4"/>
      <c r="D8424" s="4"/>
      <c r="E8424" s="4"/>
      <c r="F8424" s="4"/>
    </row>
    <row r="8425" spans="1:6" x14ac:dyDescent="0.4">
      <c r="A8425" s="4"/>
      <c r="B8425" s="4"/>
      <c r="D8425" s="4"/>
      <c r="E8425" s="4"/>
      <c r="F8425" s="4"/>
    </row>
    <row r="8426" spans="1:6" x14ac:dyDescent="0.4">
      <c r="A8426" s="4"/>
      <c r="B8426" s="4"/>
      <c r="D8426" s="4"/>
      <c r="E8426" s="4"/>
      <c r="F8426" s="4"/>
    </row>
    <row r="8427" spans="1:6" x14ac:dyDescent="0.4">
      <c r="A8427" s="4"/>
      <c r="B8427" s="4"/>
      <c r="D8427" s="4"/>
      <c r="E8427" s="4"/>
      <c r="F8427" s="4"/>
    </row>
    <row r="8428" spans="1:6" x14ac:dyDescent="0.4">
      <c r="A8428" s="4"/>
      <c r="B8428" s="4"/>
      <c r="D8428" s="4"/>
      <c r="E8428" s="4"/>
      <c r="F8428" s="4"/>
    </row>
    <row r="8429" spans="1:6" x14ac:dyDescent="0.4">
      <c r="A8429" s="4"/>
      <c r="B8429" s="4"/>
      <c r="D8429" s="4"/>
      <c r="E8429" s="4"/>
      <c r="F8429" s="4"/>
    </row>
    <row r="8430" spans="1:6" x14ac:dyDescent="0.4">
      <c r="A8430" s="4"/>
      <c r="B8430" s="4"/>
      <c r="D8430" s="4"/>
      <c r="E8430" s="4"/>
      <c r="F8430" s="4"/>
    </row>
    <row r="8431" spans="1:6" x14ac:dyDescent="0.4">
      <c r="A8431" s="4"/>
      <c r="B8431" s="4"/>
      <c r="D8431" s="4"/>
      <c r="E8431" s="4"/>
      <c r="F8431" s="4"/>
    </row>
    <row r="8432" spans="1:6" x14ac:dyDescent="0.4">
      <c r="A8432" s="4"/>
      <c r="B8432" s="4"/>
      <c r="D8432" s="4"/>
      <c r="E8432" s="4"/>
      <c r="F8432" s="4"/>
    </row>
    <row r="8433" spans="1:6" x14ac:dyDescent="0.4">
      <c r="A8433" s="4"/>
      <c r="B8433" s="4"/>
      <c r="D8433" s="4"/>
      <c r="E8433" s="4"/>
      <c r="F8433" s="4"/>
    </row>
    <row r="8434" spans="1:6" x14ac:dyDescent="0.4">
      <c r="A8434" s="4"/>
      <c r="B8434" s="4"/>
      <c r="D8434" s="4"/>
      <c r="E8434" s="4"/>
      <c r="F8434" s="4"/>
    </row>
    <row r="8435" spans="1:6" x14ac:dyDescent="0.4">
      <c r="A8435" s="4"/>
      <c r="B8435" s="4"/>
      <c r="D8435" s="4"/>
      <c r="E8435" s="4"/>
      <c r="F8435" s="4"/>
    </row>
    <row r="8436" spans="1:6" x14ac:dyDescent="0.4">
      <c r="A8436" s="4"/>
      <c r="B8436" s="4"/>
      <c r="D8436" s="4"/>
      <c r="E8436" s="4"/>
      <c r="F8436" s="4"/>
    </row>
    <row r="8437" spans="1:6" x14ac:dyDescent="0.4">
      <c r="A8437" s="4"/>
      <c r="B8437" s="4"/>
      <c r="D8437" s="4"/>
      <c r="E8437" s="4"/>
      <c r="F8437" s="4"/>
    </row>
    <row r="8438" spans="1:6" x14ac:dyDescent="0.4">
      <c r="A8438" s="4"/>
      <c r="B8438" s="4"/>
      <c r="D8438" s="4"/>
      <c r="E8438" s="4"/>
      <c r="F8438" s="4"/>
    </row>
    <row r="8439" spans="1:6" x14ac:dyDescent="0.4">
      <c r="A8439" s="4"/>
      <c r="B8439" s="4"/>
      <c r="D8439" s="4"/>
      <c r="E8439" s="4"/>
      <c r="F8439" s="4"/>
    </row>
    <row r="8440" spans="1:6" x14ac:dyDescent="0.4">
      <c r="A8440" s="4"/>
      <c r="B8440" s="4"/>
      <c r="D8440" s="4"/>
      <c r="E8440" s="4"/>
      <c r="F8440" s="4"/>
    </row>
    <row r="8441" spans="1:6" x14ac:dyDescent="0.4">
      <c r="A8441" s="4"/>
      <c r="B8441" s="4"/>
      <c r="D8441" s="4"/>
      <c r="E8441" s="4"/>
      <c r="F8441" s="4"/>
    </row>
    <row r="8442" spans="1:6" x14ac:dyDescent="0.4">
      <c r="A8442" s="4"/>
      <c r="B8442" s="4"/>
      <c r="D8442" s="4"/>
      <c r="E8442" s="4"/>
      <c r="F8442" s="4"/>
    </row>
    <row r="8443" spans="1:6" x14ac:dyDescent="0.4">
      <c r="A8443" s="4"/>
      <c r="B8443" s="4"/>
      <c r="D8443" s="4"/>
      <c r="E8443" s="4"/>
      <c r="F8443" s="4"/>
    </row>
    <row r="8444" spans="1:6" x14ac:dyDescent="0.4">
      <c r="A8444" s="4"/>
      <c r="B8444" s="4"/>
      <c r="D8444" s="4"/>
      <c r="E8444" s="4"/>
      <c r="F8444" s="4"/>
    </row>
    <row r="8445" spans="1:6" x14ac:dyDescent="0.4">
      <c r="A8445" s="4"/>
      <c r="B8445" s="4"/>
      <c r="D8445" s="4"/>
      <c r="E8445" s="4"/>
      <c r="F8445" s="4"/>
    </row>
    <row r="8446" spans="1:6" x14ac:dyDescent="0.4">
      <c r="A8446" s="4"/>
      <c r="B8446" s="4"/>
      <c r="D8446" s="4"/>
      <c r="E8446" s="4"/>
      <c r="F8446" s="4"/>
    </row>
    <row r="8447" spans="1:6" x14ac:dyDescent="0.4">
      <c r="A8447" s="4"/>
      <c r="B8447" s="4"/>
      <c r="D8447" s="4"/>
      <c r="E8447" s="4"/>
      <c r="F8447" s="4"/>
    </row>
    <row r="8448" spans="1:6" x14ac:dyDescent="0.4">
      <c r="A8448" s="4"/>
      <c r="B8448" s="4"/>
      <c r="D8448" s="4"/>
      <c r="E8448" s="4"/>
      <c r="F8448" s="4"/>
    </row>
    <row r="8449" spans="1:6" x14ac:dyDescent="0.4">
      <c r="A8449" s="4"/>
      <c r="B8449" s="4"/>
      <c r="D8449" s="4"/>
      <c r="E8449" s="4"/>
      <c r="F8449" s="4"/>
    </row>
    <row r="8450" spans="1:6" x14ac:dyDescent="0.4">
      <c r="A8450" s="4"/>
      <c r="B8450" s="4"/>
      <c r="D8450" s="4"/>
      <c r="E8450" s="4"/>
      <c r="F8450" s="4"/>
    </row>
    <row r="8451" spans="1:6" x14ac:dyDescent="0.4">
      <c r="A8451" s="4"/>
      <c r="B8451" s="4"/>
      <c r="D8451" s="4"/>
      <c r="E8451" s="4"/>
      <c r="F8451" s="4"/>
    </row>
    <row r="8452" spans="1:6" x14ac:dyDescent="0.4">
      <c r="A8452" s="4"/>
      <c r="B8452" s="4"/>
      <c r="D8452" s="4"/>
      <c r="E8452" s="4"/>
      <c r="F8452" s="4"/>
    </row>
    <row r="8453" spans="1:6" x14ac:dyDescent="0.4">
      <c r="A8453" s="4"/>
      <c r="B8453" s="4"/>
      <c r="D8453" s="4"/>
      <c r="E8453" s="4"/>
      <c r="F8453" s="4"/>
    </row>
    <row r="8454" spans="1:6" x14ac:dyDescent="0.4">
      <c r="A8454" s="4"/>
      <c r="B8454" s="4"/>
      <c r="D8454" s="4"/>
      <c r="E8454" s="4"/>
      <c r="F8454" s="4"/>
    </row>
    <row r="8455" spans="1:6" x14ac:dyDescent="0.4">
      <c r="A8455" s="4"/>
      <c r="B8455" s="4"/>
      <c r="D8455" s="4"/>
      <c r="E8455" s="4"/>
      <c r="F8455" s="4"/>
    </row>
    <row r="8456" spans="1:6" x14ac:dyDescent="0.4">
      <c r="A8456" s="4"/>
      <c r="B8456" s="4"/>
      <c r="D8456" s="4"/>
      <c r="E8456" s="4"/>
      <c r="F8456" s="4"/>
    </row>
    <row r="8457" spans="1:6" x14ac:dyDescent="0.4">
      <c r="A8457" s="4"/>
      <c r="B8457" s="4"/>
      <c r="D8457" s="4"/>
      <c r="E8457" s="4"/>
      <c r="F8457" s="4"/>
    </row>
    <row r="8458" spans="1:6" x14ac:dyDescent="0.4">
      <c r="A8458" s="4"/>
      <c r="B8458" s="4"/>
      <c r="D8458" s="4"/>
      <c r="E8458" s="4"/>
      <c r="F8458" s="4"/>
    </row>
    <row r="8459" spans="1:6" x14ac:dyDescent="0.4">
      <c r="A8459" s="4"/>
      <c r="B8459" s="4"/>
      <c r="D8459" s="4"/>
      <c r="E8459" s="4"/>
      <c r="F8459" s="4"/>
    </row>
    <row r="8460" spans="1:6" x14ac:dyDescent="0.4">
      <c r="A8460" s="4"/>
      <c r="B8460" s="4"/>
      <c r="D8460" s="4"/>
      <c r="E8460" s="4"/>
      <c r="F8460" s="4"/>
    </row>
    <row r="8461" spans="1:6" x14ac:dyDescent="0.4">
      <c r="A8461" s="4"/>
      <c r="B8461" s="4"/>
      <c r="D8461" s="4"/>
      <c r="E8461" s="4"/>
      <c r="F8461" s="4"/>
    </row>
    <row r="8462" spans="1:6" x14ac:dyDescent="0.4">
      <c r="A8462" s="4"/>
      <c r="B8462" s="4"/>
      <c r="D8462" s="4"/>
      <c r="E8462" s="4"/>
      <c r="F8462" s="4"/>
    </row>
    <row r="8463" spans="1:6" x14ac:dyDescent="0.4">
      <c r="A8463" s="4"/>
      <c r="B8463" s="4"/>
      <c r="D8463" s="4"/>
      <c r="E8463" s="4"/>
      <c r="F8463" s="4"/>
    </row>
    <row r="8464" spans="1:6" x14ac:dyDescent="0.4">
      <c r="A8464" s="4"/>
      <c r="B8464" s="4"/>
      <c r="D8464" s="4"/>
      <c r="E8464" s="4"/>
      <c r="F8464" s="4"/>
    </row>
    <row r="8465" spans="1:6" x14ac:dyDescent="0.4">
      <c r="A8465" s="4"/>
      <c r="B8465" s="4"/>
      <c r="D8465" s="4"/>
      <c r="E8465" s="4"/>
      <c r="F8465" s="4"/>
    </row>
    <row r="8466" spans="1:6" x14ac:dyDescent="0.4">
      <c r="A8466" s="4"/>
      <c r="B8466" s="4"/>
      <c r="D8466" s="4"/>
      <c r="E8466" s="4"/>
      <c r="F8466" s="4"/>
    </row>
    <row r="8467" spans="1:6" x14ac:dyDescent="0.4">
      <c r="A8467" s="4"/>
      <c r="B8467" s="4"/>
      <c r="D8467" s="4"/>
      <c r="E8467" s="4"/>
      <c r="F8467" s="4"/>
    </row>
    <row r="8468" spans="1:6" x14ac:dyDescent="0.4">
      <c r="A8468" s="4"/>
      <c r="B8468" s="4"/>
      <c r="D8468" s="4"/>
      <c r="E8468" s="4"/>
      <c r="F8468" s="4"/>
    </row>
    <row r="8469" spans="1:6" x14ac:dyDescent="0.4">
      <c r="A8469" s="4"/>
      <c r="B8469" s="4"/>
      <c r="D8469" s="4"/>
      <c r="E8469" s="4"/>
      <c r="F8469" s="4"/>
    </row>
    <row r="8470" spans="1:6" x14ac:dyDescent="0.4">
      <c r="A8470" s="4"/>
      <c r="B8470" s="4"/>
      <c r="D8470" s="4"/>
      <c r="E8470" s="4"/>
      <c r="F8470" s="4"/>
    </row>
    <row r="8471" spans="1:6" x14ac:dyDescent="0.4">
      <c r="A8471" s="4"/>
      <c r="B8471" s="4"/>
      <c r="D8471" s="4"/>
      <c r="E8471" s="4"/>
      <c r="F8471" s="4"/>
    </row>
    <row r="8472" spans="1:6" x14ac:dyDescent="0.4">
      <c r="A8472" s="4"/>
      <c r="B8472" s="4"/>
      <c r="D8472" s="4"/>
      <c r="E8472" s="4"/>
      <c r="F8472" s="4"/>
    </row>
    <row r="8473" spans="1:6" x14ac:dyDescent="0.4">
      <c r="A8473" s="4"/>
      <c r="B8473" s="4"/>
      <c r="D8473" s="4"/>
      <c r="E8473" s="4"/>
      <c r="F8473" s="4"/>
    </row>
    <row r="8474" spans="1:6" x14ac:dyDescent="0.4">
      <c r="A8474" s="4"/>
      <c r="B8474" s="4"/>
      <c r="D8474" s="4"/>
      <c r="E8474" s="4"/>
      <c r="F8474" s="4"/>
    </row>
    <row r="8475" spans="1:6" x14ac:dyDescent="0.4">
      <c r="A8475" s="4"/>
      <c r="B8475" s="4"/>
      <c r="D8475" s="4"/>
      <c r="E8475" s="4"/>
      <c r="F8475" s="4"/>
    </row>
    <row r="8476" spans="1:6" x14ac:dyDescent="0.4">
      <c r="A8476" s="4"/>
      <c r="B8476" s="4"/>
      <c r="D8476" s="4"/>
      <c r="E8476" s="4"/>
      <c r="F8476" s="4"/>
    </row>
    <row r="8477" spans="1:6" x14ac:dyDescent="0.4">
      <c r="A8477" s="4"/>
      <c r="B8477" s="4"/>
      <c r="D8477" s="4"/>
      <c r="E8477" s="4"/>
      <c r="F8477" s="4"/>
    </row>
    <row r="8478" spans="1:6" x14ac:dyDescent="0.4">
      <c r="A8478" s="4"/>
      <c r="B8478" s="4"/>
      <c r="D8478" s="4"/>
      <c r="E8478" s="4"/>
      <c r="F8478" s="4"/>
    </row>
    <row r="8479" spans="1:6" x14ac:dyDescent="0.4">
      <c r="A8479" s="4"/>
      <c r="B8479" s="4"/>
      <c r="D8479" s="4"/>
      <c r="E8479" s="4"/>
      <c r="F8479" s="4"/>
    </row>
    <row r="8480" spans="1:6" x14ac:dyDescent="0.4">
      <c r="A8480" s="4"/>
      <c r="B8480" s="4"/>
      <c r="D8480" s="4"/>
      <c r="E8480" s="4"/>
      <c r="F8480" s="4"/>
    </row>
    <row r="8481" spans="1:6" x14ac:dyDescent="0.4">
      <c r="A8481" s="4"/>
      <c r="B8481" s="4"/>
      <c r="D8481" s="4"/>
      <c r="E8481" s="4"/>
      <c r="F8481" s="4"/>
    </row>
    <row r="8482" spans="1:6" x14ac:dyDescent="0.4">
      <c r="A8482" s="4"/>
      <c r="B8482" s="4"/>
      <c r="D8482" s="4"/>
      <c r="E8482" s="4"/>
      <c r="F8482" s="4"/>
    </row>
    <row r="8483" spans="1:6" x14ac:dyDescent="0.4">
      <c r="A8483" s="4"/>
      <c r="B8483" s="4"/>
      <c r="D8483" s="4"/>
      <c r="E8483" s="4"/>
      <c r="F8483" s="4"/>
    </row>
    <row r="8484" spans="1:6" x14ac:dyDescent="0.4">
      <c r="A8484" s="4"/>
      <c r="B8484" s="4"/>
      <c r="D8484" s="4"/>
      <c r="E8484" s="4"/>
      <c r="F8484" s="4"/>
    </row>
    <row r="8485" spans="1:6" x14ac:dyDescent="0.4">
      <c r="A8485" s="4"/>
      <c r="B8485" s="4"/>
      <c r="D8485" s="4"/>
      <c r="E8485" s="4"/>
      <c r="F8485" s="4"/>
    </row>
    <row r="8486" spans="1:6" x14ac:dyDescent="0.4">
      <c r="A8486" s="4"/>
      <c r="B8486" s="4"/>
      <c r="D8486" s="4"/>
      <c r="E8486" s="4"/>
      <c r="F8486" s="4"/>
    </row>
    <row r="8487" spans="1:6" x14ac:dyDescent="0.4">
      <c r="A8487" s="4"/>
      <c r="B8487" s="4"/>
      <c r="D8487" s="4"/>
      <c r="E8487" s="4"/>
      <c r="F8487" s="4"/>
    </row>
    <row r="8488" spans="1:6" x14ac:dyDescent="0.4">
      <c r="A8488" s="4"/>
      <c r="B8488" s="4"/>
      <c r="D8488" s="4"/>
      <c r="E8488" s="4"/>
      <c r="F8488" s="4"/>
    </row>
    <row r="8489" spans="1:6" x14ac:dyDescent="0.4">
      <c r="A8489" s="4"/>
      <c r="B8489" s="4"/>
      <c r="D8489" s="4"/>
      <c r="E8489" s="4"/>
      <c r="F8489" s="4"/>
    </row>
    <row r="8490" spans="1:6" x14ac:dyDescent="0.4">
      <c r="A8490" s="4"/>
      <c r="B8490" s="4"/>
      <c r="D8490" s="4"/>
      <c r="E8490" s="4"/>
      <c r="F8490" s="4"/>
    </row>
    <row r="8491" spans="1:6" x14ac:dyDescent="0.4">
      <c r="A8491" s="4"/>
      <c r="B8491" s="4"/>
      <c r="D8491" s="4"/>
      <c r="E8491" s="4"/>
      <c r="F8491" s="4"/>
    </row>
    <row r="8492" spans="1:6" x14ac:dyDescent="0.4">
      <c r="A8492" s="4"/>
      <c r="B8492" s="4"/>
      <c r="D8492" s="4"/>
      <c r="E8492" s="4"/>
      <c r="F8492" s="4"/>
    </row>
    <row r="8493" spans="1:6" x14ac:dyDescent="0.4">
      <c r="A8493" s="4"/>
      <c r="B8493" s="4"/>
      <c r="D8493" s="4"/>
      <c r="E8493" s="4"/>
      <c r="F8493" s="4"/>
    </row>
    <row r="8494" spans="1:6" x14ac:dyDescent="0.4">
      <c r="A8494" s="4"/>
      <c r="B8494" s="4"/>
      <c r="D8494" s="4"/>
      <c r="E8494" s="4"/>
      <c r="F8494" s="4"/>
    </row>
    <row r="8495" spans="1:6" x14ac:dyDescent="0.4">
      <c r="A8495" s="4"/>
      <c r="B8495" s="4"/>
      <c r="D8495" s="4"/>
      <c r="E8495" s="4"/>
      <c r="F8495" s="4"/>
    </row>
    <row r="8496" spans="1:6" x14ac:dyDescent="0.4">
      <c r="A8496" s="4"/>
      <c r="B8496" s="4"/>
      <c r="D8496" s="4"/>
      <c r="E8496" s="4"/>
      <c r="F8496" s="4"/>
    </row>
    <row r="8497" spans="1:6" x14ac:dyDescent="0.4">
      <c r="A8497" s="4"/>
      <c r="B8497" s="4"/>
      <c r="D8497" s="4"/>
      <c r="E8497" s="4"/>
      <c r="F8497" s="4"/>
    </row>
    <row r="8498" spans="1:6" x14ac:dyDescent="0.4">
      <c r="A8498" s="4"/>
      <c r="B8498" s="4"/>
      <c r="D8498" s="4"/>
      <c r="E8498" s="4"/>
      <c r="F8498" s="4"/>
    </row>
    <row r="8499" spans="1:6" x14ac:dyDescent="0.4">
      <c r="A8499" s="4"/>
      <c r="B8499" s="4"/>
      <c r="D8499" s="4"/>
      <c r="E8499" s="4"/>
      <c r="F8499" s="4"/>
    </row>
    <row r="8500" spans="1:6" x14ac:dyDescent="0.4">
      <c r="A8500" s="4"/>
      <c r="B8500" s="4"/>
      <c r="D8500" s="4"/>
      <c r="E8500" s="4"/>
      <c r="F8500" s="4"/>
    </row>
    <row r="8501" spans="1:6" x14ac:dyDescent="0.4">
      <c r="A8501" s="4"/>
      <c r="B8501" s="4"/>
      <c r="D8501" s="4"/>
      <c r="E8501" s="4"/>
      <c r="F8501" s="4"/>
    </row>
    <row r="8502" spans="1:6" x14ac:dyDescent="0.4">
      <c r="A8502" s="4"/>
      <c r="B8502" s="4"/>
      <c r="D8502" s="4"/>
      <c r="E8502" s="4"/>
      <c r="F8502" s="4"/>
    </row>
    <row r="8503" spans="1:6" x14ac:dyDescent="0.4">
      <c r="A8503" s="4"/>
      <c r="B8503" s="4"/>
      <c r="D8503" s="4"/>
      <c r="E8503" s="4"/>
      <c r="F8503" s="4"/>
    </row>
    <row r="8504" spans="1:6" x14ac:dyDescent="0.4">
      <c r="A8504" s="4"/>
      <c r="B8504" s="4"/>
      <c r="D8504" s="4"/>
      <c r="E8504" s="4"/>
      <c r="F8504" s="4"/>
    </row>
    <row r="8505" spans="1:6" x14ac:dyDescent="0.4">
      <c r="A8505" s="4"/>
      <c r="B8505" s="4"/>
      <c r="D8505" s="4"/>
      <c r="E8505" s="4"/>
      <c r="F8505" s="4"/>
    </row>
    <row r="8506" spans="1:6" x14ac:dyDescent="0.4">
      <c r="A8506" s="4"/>
      <c r="B8506" s="4"/>
      <c r="D8506" s="4"/>
      <c r="E8506" s="4"/>
      <c r="F8506" s="4"/>
    </row>
    <row r="8507" spans="1:6" x14ac:dyDescent="0.4">
      <c r="A8507" s="4"/>
      <c r="B8507" s="4"/>
      <c r="D8507" s="4"/>
      <c r="E8507" s="4"/>
      <c r="F8507" s="4"/>
    </row>
    <row r="8508" spans="1:6" x14ac:dyDescent="0.4">
      <c r="A8508" s="4"/>
      <c r="B8508" s="4"/>
      <c r="D8508" s="4"/>
      <c r="E8508" s="4"/>
      <c r="F8508" s="4"/>
    </row>
    <row r="8509" spans="1:6" x14ac:dyDescent="0.4">
      <c r="A8509" s="4"/>
      <c r="B8509" s="4"/>
      <c r="D8509" s="4"/>
      <c r="E8509" s="4"/>
      <c r="F8509" s="4"/>
    </row>
    <row r="8510" spans="1:6" x14ac:dyDescent="0.4">
      <c r="A8510" s="4"/>
      <c r="B8510" s="4"/>
      <c r="D8510" s="4"/>
      <c r="E8510" s="4"/>
      <c r="F8510" s="4"/>
    </row>
    <row r="8511" spans="1:6" x14ac:dyDescent="0.4">
      <c r="A8511" s="4"/>
      <c r="B8511" s="4"/>
      <c r="D8511" s="4"/>
      <c r="E8511" s="4"/>
      <c r="F8511" s="4"/>
    </row>
    <row r="8512" spans="1:6" x14ac:dyDescent="0.4">
      <c r="A8512" s="4"/>
      <c r="B8512" s="4"/>
      <c r="D8512" s="4"/>
      <c r="E8512" s="4"/>
      <c r="F8512" s="4"/>
    </row>
    <row r="8513" spans="1:6" x14ac:dyDescent="0.4">
      <c r="A8513" s="4"/>
      <c r="B8513" s="4"/>
      <c r="D8513" s="4"/>
      <c r="E8513" s="4"/>
      <c r="F8513" s="4"/>
    </row>
    <row r="8514" spans="1:6" x14ac:dyDescent="0.4">
      <c r="A8514" s="4"/>
      <c r="B8514" s="4"/>
      <c r="D8514" s="4"/>
      <c r="E8514" s="4"/>
      <c r="F8514" s="4"/>
    </row>
    <row r="8515" spans="1:6" x14ac:dyDescent="0.4">
      <c r="A8515" s="4"/>
      <c r="B8515" s="4"/>
      <c r="D8515" s="4"/>
      <c r="E8515" s="4"/>
      <c r="F8515" s="4"/>
    </row>
    <row r="8516" spans="1:6" x14ac:dyDescent="0.4">
      <c r="A8516" s="4"/>
      <c r="B8516" s="4"/>
      <c r="D8516" s="4"/>
      <c r="E8516" s="4"/>
      <c r="F8516" s="4"/>
    </row>
    <row r="8517" spans="1:6" x14ac:dyDescent="0.4">
      <c r="A8517" s="4"/>
      <c r="B8517" s="4"/>
      <c r="D8517" s="4"/>
      <c r="E8517" s="4"/>
      <c r="F8517" s="4"/>
    </row>
    <row r="8518" spans="1:6" x14ac:dyDescent="0.4">
      <c r="A8518" s="4"/>
      <c r="B8518" s="4"/>
      <c r="D8518" s="4"/>
      <c r="E8518" s="4"/>
      <c r="F8518" s="4"/>
    </row>
    <row r="8519" spans="1:6" x14ac:dyDescent="0.4">
      <c r="A8519" s="4"/>
      <c r="B8519" s="4"/>
      <c r="D8519" s="4"/>
      <c r="E8519" s="4"/>
      <c r="F8519" s="4"/>
    </row>
    <row r="8520" spans="1:6" x14ac:dyDescent="0.4">
      <c r="A8520" s="4"/>
      <c r="B8520" s="4"/>
      <c r="D8520" s="4"/>
      <c r="E8520" s="4"/>
      <c r="F8520" s="4"/>
    </row>
    <row r="8521" spans="1:6" x14ac:dyDescent="0.4">
      <c r="A8521" s="4"/>
      <c r="B8521" s="4"/>
      <c r="D8521" s="4"/>
      <c r="E8521" s="4"/>
      <c r="F8521" s="4"/>
    </row>
    <row r="8522" spans="1:6" x14ac:dyDescent="0.4">
      <c r="A8522" s="4"/>
      <c r="B8522" s="4"/>
      <c r="D8522" s="4"/>
      <c r="E8522" s="4"/>
      <c r="F8522" s="4"/>
    </row>
    <row r="8523" spans="1:6" x14ac:dyDescent="0.4">
      <c r="A8523" s="4"/>
      <c r="B8523" s="4"/>
      <c r="D8523" s="4"/>
      <c r="E8523" s="4"/>
      <c r="F8523" s="4"/>
    </row>
    <row r="8524" spans="1:6" x14ac:dyDescent="0.4">
      <c r="A8524" s="4"/>
      <c r="B8524" s="4"/>
      <c r="D8524" s="4"/>
      <c r="E8524" s="4"/>
      <c r="F8524" s="4"/>
    </row>
    <row r="8525" spans="1:6" x14ac:dyDescent="0.4">
      <c r="A8525" s="4"/>
      <c r="B8525" s="4"/>
      <c r="D8525" s="4"/>
      <c r="E8525" s="4"/>
      <c r="F8525" s="4"/>
    </row>
    <row r="8526" spans="1:6" x14ac:dyDescent="0.4">
      <c r="A8526" s="4"/>
      <c r="B8526" s="4"/>
      <c r="D8526" s="4"/>
      <c r="E8526" s="4"/>
      <c r="F8526" s="4"/>
    </row>
    <row r="8527" spans="1:6" x14ac:dyDescent="0.4">
      <c r="A8527" s="4"/>
      <c r="B8527" s="4"/>
      <c r="D8527" s="4"/>
      <c r="E8527" s="4"/>
      <c r="F8527" s="4"/>
    </row>
    <row r="8528" spans="1:6" x14ac:dyDescent="0.4">
      <c r="A8528" s="4"/>
      <c r="B8528" s="4"/>
      <c r="D8528" s="4"/>
      <c r="E8528" s="4"/>
      <c r="F8528" s="4"/>
    </row>
    <row r="8529" spans="1:6" x14ac:dyDescent="0.4">
      <c r="A8529" s="4"/>
      <c r="B8529" s="4"/>
      <c r="D8529" s="4"/>
      <c r="E8529" s="4"/>
      <c r="F8529" s="4"/>
    </row>
    <row r="8530" spans="1:6" x14ac:dyDescent="0.4">
      <c r="A8530" s="4"/>
      <c r="B8530" s="4"/>
      <c r="D8530" s="4"/>
      <c r="E8530" s="4"/>
      <c r="F8530" s="4"/>
    </row>
    <row r="8531" spans="1:6" x14ac:dyDescent="0.4">
      <c r="A8531" s="4"/>
      <c r="B8531" s="4"/>
      <c r="D8531" s="4"/>
      <c r="E8531" s="4"/>
      <c r="F8531" s="4"/>
    </row>
    <row r="8532" spans="1:6" x14ac:dyDescent="0.4">
      <c r="A8532" s="4"/>
      <c r="B8532" s="4"/>
      <c r="D8532" s="4"/>
      <c r="E8532" s="4"/>
      <c r="F8532" s="4"/>
    </row>
    <row r="8533" spans="1:6" x14ac:dyDescent="0.4">
      <c r="A8533" s="4"/>
      <c r="B8533" s="4"/>
      <c r="D8533" s="4"/>
      <c r="E8533" s="4"/>
      <c r="F8533" s="4"/>
    </row>
    <row r="8534" spans="1:6" x14ac:dyDescent="0.4">
      <c r="A8534" s="4"/>
      <c r="B8534" s="4"/>
      <c r="D8534" s="4"/>
      <c r="E8534" s="4"/>
      <c r="F8534" s="4"/>
    </row>
    <row r="8535" spans="1:6" x14ac:dyDescent="0.4">
      <c r="A8535" s="4"/>
      <c r="B8535" s="4"/>
      <c r="D8535" s="4"/>
      <c r="E8535" s="4"/>
      <c r="F8535" s="4"/>
    </row>
    <row r="8536" spans="1:6" x14ac:dyDescent="0.4">
      <c r="A8536" s="4"/>
      <c r="B8536" s="4"/>
      <c r="D8536" s="4"/>
      <c r="E8536" s="4"/>
      <c r="F8536" s="4"/>
    </row>
    <row r="8537" spans="1:6" x14ac:dyDescent="0.4">
      <c r="A8537" s="4"/>
      <c r="B8537" s="4"/>
      <c r="D8537" s="4"/>
      <c r="E8537" s="4"/>
      <c r="F8537" s="4"/>
    </row>
    <row r="8538" spans="1:6" x14ac:dyDescent="0.4">
      <c r="A8538" s="4"/>
      <c r="B8538" s="4"/>
      <c r="D8538" s="4"/>
      <c r="E8538" s="4"/>
      <c r="F8538" s="4"/>
    </row>
    <row r="8539" spans="1:6" x14ac:dyDescent="0.4">
      <c r="A8539" s="4"/>
      <c r="B8539" s="4"/>
      <c r="D8539" s="4"/>
      <c r="E8539" s="4"/>
      <c r="F8539" s="4"/>
    </row>
    <row r="8540" spans="1:6" x14ac:dyDescent="0.4">
      <c r="A8540" s="4"/>
      <c r="B8540" s="4"/>
      <c r="D8540" s="4"/>
      <c r="E8540" s="4"/>
      <c r="F8540" s="4"/>
    </row>
    <row r="8541" spans="1:6" x14ac:dyDescent="0.4">
      <c r="A8541" s="4"/>
      <c r="B8541" s="4"/>
      <c r="D8541" s="4"/>
      <c r="E8541" s="4"/>
      <c r="F8541" s="4"/>
    </row>
    <row r="8542" spans="1:6" x14ac:dyDescent="0.4">
      <c r="A8542" s="4"/>
      <c r="B8542" s="4"/>
      <c r="D8542" s="4"/>
      <c r="E8542" s="4"/>
      <c r="F8542" s="4"/>
    </row>
    <row r="8543" spans="1:6" x14ac:dyDescent="0.4">
      <c r="A8543" s="4"/>
      <c r="B8543" s="4"/>
      <c r="D8543" s="4"/>
      <c r="E8543" s="4"/>
      <c r="F8543" s="4"/>
    </row>
    <row r="8544" spans="1:6" x14ac:dyDescent="0.4">
      <c r="A8544" s="4"/>
      <c r="B8544" s="4"/>
      <c r="D8544" s="4"/>
      <c r="E8544" s="4"/>
      <c r="F8544" s="4"/>
    </row>
    <row r="8545" spans="1:6" x14ac:dyDescent="0.4">
      <c r="A8545" s="4"/>
      <c r="B8545" s="4"/>
      <c r="D8545" s="4"/>
      <c r="E8545" s="4"/>
      <c r="F8545" s="4"/>
    </row>
    <row r="8546" spans="1:6" x14ac:dyDescent="0.4">
      <c r="A8546" s="4"/>
      <c r="B8546" s="4"/>
      <c r="D8546" s="4"/>
      <c r="E8546" s="4"/>
      <c r="F8546" s="4"/>
    </row>
    <row r="8547" spans="1:6" x14ac:dyDescent="0.4">
      <c r="A8547" s="4"/>
      <c r="B8547" s="4"/>
      <c r="D8547" s="4"/>
      <c r="E8547" s="4"/>
      <c r="F8547" s="4"/>
    </row>
    <row r="8548" spans="1:6" x14ac:dyDescent="0.4">
      <c r="A8548" s="4"/>
      <c r="B8548" s="4"/>
      <c r="D8548" s="4"/>
      <c r="E8548" s="4"/>
      <c r="F8548" s="4"/>
    </row>
    <row r="8549" spans="1:6" x14ac:dyDescent="0.4">
      <c r="A8549" s="4"/>
      <c r="B8549" s="4"/>
      <c r="D8549" s="4"/>
      <c r="E8549" s="4"/>
      <c r="F8549" s="4"/>
    </row>
    <row r="8550" spans="1:6" x14ac:dyDescent="0.4">
      <c r="A8550" s="4"/>
      <c r="B8550" s="4"/>
      <c r="D8550" s="4"/>
      <c r="E8550" s="4"/>
      <c r="F8550" s="4"/>
    </row>
    <row r="8551" spans="1:6" x14ac:dyDescent="0.4">
      <c r="A8551" s="4"/>
      <c r="B8551" s="4"/>
      <c r="D8551" s="4"/>
      <c r="E8551" s="4"/>
      <c r="F8551" s="4"/>
    </row>
    <row r="8552" spans="1:6" x14ac:dyDescent="0.4">
      <c r="A8552" s="4"/>
      <c r="B8552" s="4"/>
      <c r="D8552" s="4"/>
      <c r="E8552" s="4"/>
      <c r="F8552" s="4"/>
    </row>
    <row r="8553" spans="1:6" x14ac:dyDescent="0.4">
      <c r="A8553" s="4"/>
      <c r="B8553" s="4"/>
      <c r="D8553" s="4"/>
      <c r="E8553" s="4"/>
      <c r="F8553" s="4"/>
    </row>
    <row r="8554" spans="1:6" x14ac:dyDescent="0.4">
      <c r="A8554" s="4"/>
      <c r="B8554" s="4"/>
      <c r="D8554" s="4"/>
      <c r="E8554" s="4"/>
      <c r="F8554" s="4"/>
    </row>
    <row r="8555" spans="1:6" x14ac:dyDescent="0.4">
      <c r="A8555" s="4"/>
      <c r="B8555" s="4"/>
      <c r="D8555" s="4"/>
      <c r="E8555" s="4"/>
      <c r="F8555" s="4"/>
    </row>
    <row r="8556" spans="1:6" x14ac:dyDescent="0.4">
      <c r="A8556" s="4"/>
      <c r="B8556" s="4"/>
      <c r="D8556" s="4"/>
      <c r="E8556" s="4"/>
      <c r="F8556" s="4"/>
    </row>
    <row r="8557" spans="1:6" x14ac:dyDescent="0.4">
      <c r="A8557" s="4"/>
      <c r="B8557" s="4"/>
      <c r="D8557" s="4"/>
      <c r="E8557" s="4"/>
      <c r="F8557" s="4"/>
    </row>
    <row r="8558" spans="1:6" x14ac:dyDescent="0.4">
      <c r="A8558" s="4"/>
      <c r="B8558" s="4"/>
      <c r="D8558" s="4"/>
      <c r="E8558" s="4"/>
      <c r="F8558" s="4"/>
    </row>
    <row r="8559" spans="1:6" x14ac:dyDescent="0.4">
      <c r="A8559" s="4"/>
      <c r="B8559" s="4"/>
      <c r="D8559" s="4"/>
      <c r="E8559" s="4"/>
      <c r="F8559" s="4"/>
    </row>
    <row r="8560" spans="1:6" x14ac:dyDescent="0.4">
      <c r="A8560" s="4"/>
      <c r="B8560" s="4"/>
      <c r="D8560" s="4"/>
      <c r="E8560" s="4"/>
      <c r="F8560" s="4"/>
    </row>
    <row r="8561" spans="1:6" x14ac:dyDescent="0.4">
      <c r="A8561" s="4"/>
      <c r="B8561" s="4"/>
      <c r="D8561" s="4"/>
      <c r="E8561" s="4"/>
      <c r="F8561" s="4"/>
    </row>
    <row r="8562" spans="1:6" x14ac:dyDescent="0.4">
      <c r="A8562" s="4"/>
      <c r="B8562" s="4"/>
      <c r="D8562" s="4"/>
      <c r="E8562" s="4"/>
      <c r="F8562" s="4"/>
    </row>
    <row r="8563" spans="1:6" x14ac:dyDescent="0.4">
      <c r="A8563" s="4"/>
      <c r="B8563" s="4"/>
      <c r="D8563" s="4"/>
      <c r="E8563" s="4"/>
      <c r="F8563" s="4"/>
    </row>
    <row r="8564" spans="1:6" x14ac:dyDescent="0.4">
      <c r="A8564" s="4"/>
      <c r="B8564" s="4"/>
      <c r="D8564" s="4"/>
      <c r="E8564" s="4"/>
      <c r="F8564" s="4"/>
    </row>
    <row r="8565" spans="1:6" x14ac:dyDescent="0.4">
      <c r="A8565" s="4"/>
      <c r="B8565" s="4"/>
      <c r="D8565" s="4"/>
      <c r="E8565" s="4"/>
      <c r="F8565" s="4"/>
    </row>
    <row r="8566" spans="1:6" x14ac:dyDescent="0.4">
      <c r="A8566" s="4"/>
      <c r="B8566" s="4"/>
      <c r="D8566" s="4"/>
      <c r="E8566" s="4"/>
      <c r="F8566" s="4"/>
    </row>
    <row r="8567" spans="1:6" x14ac:dyDescent="0.4">
      <c r="A8567" s="4"/>
      <c r="B8567" s="4"/>
      <c r="D8567" s="4"/>
      <c r="E8567" s="4"/>
      <c r="F8567" s="4"/>
    </row>
    <row r="8568" spans="1:6" x14ac:dyDescent="0.4">
      <c r="A8568" s="4"/>
      <c r="B8568" s="4"/>
      <c r="D8568" s="4"/>
      <c r="E8568" s="4"/>
      <c r="F8568" s="4"/>
    </row>
    <row r="8569" spans="1:6" x14ac:dyDescent="0.4">
      <c r="A8569" s="4"/>
      <c r="B8569" s="4"/>
      <c r="D8569" s="4"/>
      <c r="E8569" s="4"/>
      <c r="F8569" s="4"/>
    </row>
    <row r="8570" spans="1:6" x14ac:dyDescent="0.4">
      <c r="A8570" s="4"/>
      <c r="B8570" s="4"/>
      <c r="D8570" s="4"/>
      <c r="E8570" s="4"/>
      <c r="F8570" s="4"/>
    </row>
    <row r="8571" spans="1:6" x14ac:dyDescent="0.4">
      <c r="A8571" s="4"/>
      <c r="B8571" s="4"/>
      <c r="D8571" s="4"/>
      <c r="E8571" s="4"/>
      <c r="F8571" s="4"/>
    </row>
    <row r="8572" spans="1:6" x14ac:dyDescent="0.4">
      <c r="A8572" s="4"/>
      <c r="B8572" s="4"/>
      <c r="D8572" s="4"/>
      <c r="E8572" s="4"/>
      <c r="F8572" s="4"/>
    </row>
    <row r="8573" spans="1:6" x14ac:dyDescent="0.4">
      <c r="A8573" s="4"/>
      <c r="B8573" s="4"/>
      <c r="D8573" s="4"/>
      <c r="E8573" s="4"/>
      <c r="F8573" s="4"/>
    </row>
    <row r="8574" spans="1:6" x14ac:dyDescent="0.4">
      <c r="A8574" s="4"/>
      <c r="B8574" s="4"/>
      <c r="D8574" s="4"/>
      <c r="E8574" s="4"/>
      <c r="F8574" s="4"/>
    </row>
    <row r="8575" spans="1:6" x14ac:dyDescent="0.4">
      <c r="A8575" s="4"/>
      <c r="B8575" s="4"/>
      <c r="D8575" s="4"/>
      <c r="E8575" s="4"/>
      <c r="F8575" s="4"/>
    </row>
    <row r="8576" spans="1:6" x14ac:dyDescent="0.4">
      <c r="A8576" s="4"/>
      <c r="B8576" s="4"/>
      <c r="D8576" s="4"/>
      <c r="E8576" s="4"/>
      <c r="F8576" s="4"/>
    </row>
    <row r="8577" spans="1:6" x14ac:dyDescent="0.4">
      <c r="A8577" s="4"/>
      <c r="B8577" s="4"/>
      <c r="D8577" s="4"/>
      <c r="E8577" s="4"/>
      <c r="F8577" s="4"/>
    </row>
    <row r="8578" spans="1:6" x14ac:dyDescent="0.4">
      <c r="A8578" s="4"/>
      <c r="B8578" s="4"/>
      <c r="D8578" s="4"/>
      <c r="E8578" s="4"/>
      <c r="F8578" s="4"/>
    </row>
    <row r="8579" spans="1:6" x14ac:dyDescent="0.4">
      <c r="A8579" s="4"/>
      <c r="B8579" s="4"/>
      <c r="D8579" s="4"/>
      <c r="E8579" s="4"/>
      <c r="F8579" s="4"/>
    </row>
    <row r="8580" spans="1:6" x14ac:dyDescent="0.4">
      <c r="A8580" s="4"/>
      <c r="B8580" s="4"/>
      <c r="D8580" s="4"/>
      <c r="E8580" s="4"/>
      <c r="F8580" s="4"/>
    </row>
    <row r="8581" spans="1:6" x14ac:dyDescent="0.4">
      <c r="A8581" s="4"/>
      <c r="B8581" s="4"/>
      <c r="D8581" s="4"/>
      <c r="E8581" s="4"/>
      <c r="F8581" s="4"/>
    </row>
    <row r="8582" spans="1:6" x14ac:dyDescent="0.4">
      <c r="A8582" s="4"/>
      <c r="B8582" s="4"/>
      <c r="D8582" s="4"/>
      <c r="E8582" s="4"/>
      <c r="F8582" s="4"/>
    </row>
    <row r="8583" spans="1:6" x14ac:dyDescent="0.4">
      <c r="A8583" s="4"/>
      <c r="B8583" s="4"/>
      <c r="D8583" s="4"/>
      <c r="E8583" s="4"/>
      <c r="F8583" s="4"/>
    </row>
    <row r="8584" spans="1:6" x14ac:dyDescent="0.4">
      <c r="A8584" s="4"/>
      <c r="B8584" s="4"/>
      <c r="D8584" s="4"/>
      <c r="E8584" s="4"/>
      <c r="F8584" s="4"/>
    </row>
    <row r="8585" spans="1:6" x14ac:dyDescent="0.4">
      <c r="A8585" s="4"/>
      <c r="B8585" s="4"/>
      <c r="D8585" s="4"/>
      <c r="E8585" s="4"/>
      <c r="F8585" s="4"/>
    </row>
    <row r="8586" spans="1:6" x14ac:dyDescent="0.4">
      <c r="A8586" s="4"/>
      <c r="B8586" s="4"/>
      <c r="D8586" s="4"/>
      <c r="E8586" s="4"/>
      <c r="F8586" s="4"/>
    </row>
    <row r="8587" spans="1:6" x14ac:dyDescent="0.4">
      <c r="A8587" s="4"/>
      <c r="B8587" s="4"/>
      <c r="D8587" s="4"/>
      <c r="E8587" s="4"/>
      <c r="F8587" s="4"/>
    </row>
    <row r="8588" spans="1:6" x14ac:dyDescent="0.4">
      <c r="A8588" s="4"/>
      <c r="B8588" s="4"/>
      <c r="D8588" s="4"/>
      <c r="E8588" s="4"/>
      <c r="F8588" s="4"/>
    </row>
    <row r="8589" spans="1:6" x14ac:dyDescent="0.4">
      <c r="A8589" s="4"/>
      <c r="B8589" s="4"/>
      <c r="D8589" s="4"/>
      <c r="E8589" s="4"/>
      <c r="F8589" s="4"/>
    </row>
    <row r="8590" spans="1:6" x14ac:dyDescent="0.4">
      <c r="A8590" s="4"/>
      <c r="B8590" s="4"/>
      <c r="D8590" s="4"/>
      <c r="E8590" s="4"/>
      <c r="F8590" s="4"/>
    </row>
    <row r="8591" spans="1:6" x14ac:dyDescent="0.4">
      <c r="A8591" s="4"/>
      <c r="B8591" s="4"/>
      <c r="D8591" s="4"/>
      <c r="E8591" s="4"/>
      <c r="F8591" s="4"/>
    </row>
    <row r="8592" spans="1:6" x14ac:dyDescent="0.4">
      <c r="A8592" s="4"/>
      <c r="B8592" s="4"/>
      <c r="D8592" s="4"/>
      <c r="E8592" s="4"/>
      <c r="F8592" s="4"/>
    </row>
    <row r="8593" spans="1:6" x14ac:dyDescent="0.4">
      <c r="A8593" s="4"/>
      <c r="B8593" s="4"/>
      <c r="D8593" s="4"/>
      <c r="E8593" s="4"/>
      <c r="F8593" s="4"/>
    </row>
    <row r="8594" spans="1:6" x14ac:dyDescent="0.4">
      <c r="A8594" s="4"/>
      <c r="B8594" s="4"/>
      <c r="D8594" s="4"/>
      <c r="E8594" s="4"/>
      <c r="F8594" s="4"/>
    </row>
    <row r="8595" spans="1:6" x14ac:dyDescent="0.4">
      <c r="A8595" s="4"/>
      <c r="B8595" s="4"/>
      <c r="D8595" s="4"/>
      <c r="E8595" s="4"/>
      <c r="F8595" s="4"/>
    </row>
    <row r="8596" spans="1:6" x14ac:dyDescent="0.4">
      <c r="A8596" s="4"/>
      <c r="B8596" s="4"/>
      <c r="D8596" s="4"/>
      <c r="E8596" s="4"/>
      <c r="F8596" s="4"/>
    </row>
    <row r="8597" spans="1:6" x14ac:dyDescent="0.4">
      <c r="A8597" s="4"/>
      <c r="B8597" s="4"/>
      <c r="D8597" s="4"/>
      <c r="E8597" s="4"/>
      <c r="F8597" s="4"/>
    </row>
    <row r="8598" spans="1:6" x14ac:dyDescent="0.4">
      <c r="A8598" s="4"/>
      <c r="B8598" s="4"/>
      <c r="D8598" s="4"/>
      <c r="E8598" s="4"/>
      <c r="F8598" s="4"/>
    </row>
    <row r="8599" spans="1:6" x14ac:dyDescent="0.4">
      <c r="A8599" s="4"/>
      <c r="B8599" s="4"/>
      <c r="D8599" s="4"/>
      <c r="E8599" s="4"/>
      <c r="F8599" s="4"/>
    </row>
    <row r="8600" spans="1:6" x14ac:dyDescent="0.4">
      <c r="A8600" s="4"/>
      <c r="B8600" s="4"/>
      <c r="D8600" s="4"/>
      <c r="E8600" s="4"/>
      <c r="F8600" s="4"/>
    </row>
    <row r="8601" spans="1:6" x14ac:dyDescent="0.4">
      <c r="A8601" s="4"/>
      <c r="B8601" s="4"/>
      <c r="D8601" s="4"/>
      <c r="E8601" s="4"/>
      <c r="F8601" s="4"/>
    </row>
    <row r="8602" spans="1:6" x14ac:dyDescent="0.4">
      <c r="A8602" s="4"/>
      <c r="B8602" s="4"/>
      <c r="D8602" s="4"/>
      <c r="E8602" s="4"/>
      <c r="F8602" s="4"/>
    </row>
    <row r="8603" spans="1:6" x14ac:dyDescent="0.4">
      <c r="A8603" s="4"/>
      <c r="B8603" s="4"/>
      <c r="D8603" s="4"/>
      <c r="E8603" s="4"/>
      <c r="F8603" s="4"/>
    </row>
    <row r="8604" spans="1:6" x14ac:dyDescent="0.4">
      <c r="A8604" s="4"/>
      <c r="B8604" s="4"/>
      <c r="D8604" s="4"/>
      <c r="E8604" s="4"/>
      <c r="F8604" s="4"/>
    </row>
    <row r="8605" spans="1:6" x14ac:dyDescent="0.4">
      <c r="A8605" s="4"/>
      <c r="B8605" s="4"/>
      <c r="D8605" s="4"/>
      <c r="E8605" s="4"/>
      <c r="F8605" s="4"/>
    </row>
    <row r="8606" spans="1:6" x14ac:dyDescent="0.4">
      <c r="A8606" s="4"/>
      <c r="B8606" s="4"/>
      <c r="D8606" s="4"/>
      <c r="E8606" s="4"/>
      <c r="F8606" s="4"/>
    </row>
    <row r="8607" spans="1:6" x14ac:dyDescent="0.4">
      <c r="A8607" s="4"/>
      <c r="B8607" s="4"/>
      <c r="D8607" s="4"/>
      <c r="E8607" s="4"/>
      <c r="F8607" s="4"/>
    </row>
    <row r="8608" spans="1:6" x14ac:dyDescent="0.4">
      <c r="A8608" s="4"/>
      <c r="B8608" s="4"/>
      <c r="D8608" s="4"/>
      <c r="E8608" s="4"/>
      <c r="F8608" s="4"/>
    </row>
    <row r="8609" spans="1:6" x14ac:dyDescent="0.4">
      <c r="A8609" s="4"/>
      <c r="B8609" s="4"/>
      <c r="D8609" s="4"/>
      <c r="E8609" s="4"/>
      <c r="F8609" s="4"/>
    </row>
    <row r="8610" spans="1:6" x14ac:dyDescent="0.4">
      <c r="A8610" s="4"/>
      <c r="B8610" s="4"/>
      <c r="D8610" s="4"/>
      <c r="E8610" s="4"/>
      <c r="F8610" s="4"/>
    </row>
    <row r="8611" spans="1:6" x14ac:dyDescent="0.4">
      <c r="A8611" s="4"/>
      <c r="B8611" s="4"/>
      <c r="D8611" s="4"/>
      <c r="E8611" s="4"/>
      <c r="F8611" s="4"/>
    </row>
    <row r="8612" spans="1:6" x14ac:dyDescent="0.4">
      <c r="A8612" s="4"/>
      <c r="B8612" s="4"/>
      <c r="D8612" s="4"/>
      <c r="E8612" s="4"/>
      <c r="F8612" s="4"/>
    </row>
    <row r="8613" spans="1:6" x14ac:dyDescent="0.4">
      <c r="A8613" s="4"/>
      <c r="B8613" s="4"/>
      <c r="D8613" s="4"/>
      <c r="E8613" s="4"/>
      <c r="F8613" s="4"/>
    </row>
    <row r="8614" spans="1:6" x14ac:dyDescent="0.4">
      <c r="A8614" s="4"/>
      <c r="B8614" s="4"/>
      <c r="D8614" s="4"/>
      <c r="E8614" s="4"/>
      <c r="F8614" s="4"/>
    </row>
    <row r="8615" spans="1:6" x14ac:dyDescent="0.4">
      <c r="A8615" s="4"/>
      <c r="B8615" s="4"/>
      <c r="D8615" s="4"/>
      <c r="E8615" s="4"/>
      <c r="F8615" s="4"/>
    </row>
    <row r="8616" spans="1:6" x14ac:dyDescent="0.4">
      <c r="A8616" s="4"/>
      <c r="B8616" s="4"/>
      <c r="D8616" s="4"/>
      <c r="E8616" s="4"/>
      <c r="F8616" s="4"/>
    </row>
    <row r="8617" spans="1:6" x14ac:dyDescent="0.4">
      <c r="A8617" s="4"/>
      <c r="B8617" s="4"/>
      <c r="D8617" s="4"/>
      <c r="E8617" s="4"/>
      <c r="F8617" s="4"/>
    </row>
    <row r="8618" spans="1:6" x14ac:dyDescent="0.4">
      <c r="A8618" s="4"/>
      <c r="B8618" s="4"/>
      <c r="D8618" s="4"/>
      <c r="E8618" s="4"/>
      <c r="F8618" s="4"/>
    </row>
    <row r="8619" spans="1:6" x14ac:dyDescent="0.4">
      <c r="A8619" s="4"/>
      <c r="B8619" s="4"/>
      <c r="D8619" s="4"/>
      <c r="E8619" s="4"/>
      <c r="F8619" s="4"/>
    </row>
    <row r="8620" spans="1:6" x14ac:dyDescent="0.4">
      <c r="A8620" s="4"/>
      <c r="B8620" s="4"/>
      <c r="D8620" s="4"/>
      <c r="E8620" s="4"/>
      <c r="F8620" s="4"/>
    </row>
    <row r="8621" spans="1:6" x14ac:dyDescent="0.4">
      <c r="A8621" s="4"/>
      <c r="B8621" s="4"/>
      <c r="D8621" s="4"/>
      <c r="E8621" s="4"/>
      <c r="F8621" s="4"/>
    </row>
    <row r="8622" spans="1:6" x14ac:dyDescent="0.4">
      <c r="A8622" s="4"/>
      <c r="B8622" s="4"/>
      <c r="D8622" s="4"/>
      <c r="E8622" s="4"/>
      <c r="F8622" s="4"/>
    </row>
    <row r="8623" spans="1:6" x14ac:dyDescent="0.4">
      <c r="A8623" s="4"/>
      <c r="B8623" s="4"/>
      <c r="D8623" s="4"/>
      <c r="E8623" s="4"/>
      <c r="F8623" s="4"/>
    </row>
    <row r="8624" spans="1:6" x14ac:dyDescent="0.4">
      <c r="A8624" s="4"/>
      <c r="B8624" s="4"/>
      <c r="D8624" s="4"/>
      <c r="E8624" s="4"/>
      <c r="F8624" s="4"/>
    </row>
    <row r="8625" spans="1:6" x14ac:dyDescent="0.4">
      <c r="A8625" s="4"/>
      <c r="B8625" s="4"/>
      <c r="D8625" s="4"/>
      <c r="E8625" s="4"/>
      <c r="F8625" s="4"/>
    </row>
    <row r="8626" spans="1:6" x14ac:dyDescent="0.4">
      <c r="A8626" s="4"/>
      <c r="B8626" s="4"/>
      <c r="D8626" s="4"/>
      <c r="E8626" s="4"/>
      <c r="F8626" s="4"/>
    </row>
    <row r="8627" spans="1:6" x14ac:dyDescent="0.4">
      <c r="A8627" s="4"/>
      <c r="B8627" s="4"/>
      <c r="D8627" s="4"/>
      <c r="E8627" s="4"/>
      <c r="F8627" s="4"/>
    </row>
    <row r="8628" spans="1:6" x14ac:dyDescent="0.4">
      <c r="A8628" s="4"/>
      <c r="B8628" s="4"/>
      <c r="D8628" s="4"/>
      <c r="E8628" s="4"/>
      <c r="F8628" s="4"/>
    </row>
    <row r="8629" spans="1:6" x14ac:dyDescent="0.4">
      <c r="A8629" s="4"/>
      <c r="B8629" s="4"/>
      <c r="D8629" s="4"/>
      <c r="E8629" s="4"/>
      <c r="F8629" s="4"/>
    </row>
    <row r="8630" spans="1:6" x14ac:dyDescent="0.4">
      <c r="A8630" s="4"/>
      <c r="B8630" s="4"/>
      <c r="D8630" s="4"/>
      <c r="E8630" s="4"/>
      <c r="F8630" s="4"/>
    </row>
    <row r="8631" spans="1:6" x14ac:dyDescent="0.4">
      <c r="A8631" s="4"/>
      <c r="B8631" s="4"/>
      <c r="D8631" s="4"/>
      <c r="E8631" s="4"/>
      <c r="F8631" s="4"/>
    </row>
    <row r="8632" spans="1:6" x14ac:dyDescent="0.4">
      <c r="A8632" s="4"/>
      <c r="B8632" s="4"/>
      <c r="D8632" s="4"/>
      <c r="E8632" s="4"/>
      <c r="F8632" s="4"/>
    </row>
    <row r="8633" spans="1:6" x14ac:dyDescent="0.4">
      <c r="A8633" s="4"/>
      <c r="B8633" s="4"/>
      <c r="D8633" s="4"/>
      <c r="E8633" s="4"/>
      <c r="F8633" s="4"/>
    </row>
    <row r="8634" spans="1:6" x14ac:dyDescent="0.4">
      <c r="A8634" s="4"/>
      <c r="B8634" s="4"/>
      <c r="D8634" s="4"/>
      <c r="E8634" s="4"/>
      <c r="F8634" s="4"/>
    </row>
    <row r="8635" spans="1:6" x14ac:dyDescent="0.4">
      <c r="A8635" s="4"/>
      <c r="B8635" s="4"/>
      <c r="D8635" s="4"/>
      <c r="E8635" s="4"/>
      <c r="F8635" s="4"/>
    </row>
    <row r="8636" spans="1:6" x14ac:dyDescent="0.4">
      <c r="A8636" s="4"/>
      <c r="B8636" s="4"/>
      <c r="D8636" s="4"/>
      <c r="E8636" s="4"/>
      <c r="F8636" s="4"/>
    </row>
    <row r="8637" spans="1:6" x14ac:dyDescent="0.4">
      <c r="A8637" s="4"/>
      <c r="B8637" s="4"/>
      <c r="D8637" s="4"/>
      <c r="E8637" s="4"/>
      <c r="F8637" s="4"/>
    </row>
    <row r="8638" spans="1:6" x14ac:dyDescent="0.4">
      <c r="A8638" s="4"/>
      <c r="B8638" s="4"/>
      <c r="D8638" s="4"/>
      <c r="E8638" s="4"/>
      <c r="F8638" s="4"/>
    </row>
    <row r="8639" spans="1:6" x14ac:dyDescent="0.4">
      <c r="A8639" s="4"/>
      <c r="B8639" s="4"/>
      <c r="D8639" s="4"/>
      <c r="E8639" s="4"/>
      <c r="F8639" s="4"/>
    </row>
    <row r="8640" spans="1:6" x14ac:dyDescent="0.4">
      <c r="A8640" s="4"/>
      <c r="B8640" s="4"/>
      <c r="D8640" s="4"/>
      <c r="E8640" s="4"/>
      <c r="F8640" s="4"/>
    </row>
    <row r="8641" spans="1:6" x14ac:dyDescent="0.4">
      <c r="A8641" s="4"/>
      <c r="B8641" s="4"/>
      <c r="D8641" s="4"/>
      <c r="E8641" s="4"/>
      <c r="F8641" s="4"/>
    </row>
    <row r="8642" spans="1:6" x14ac:dyDescent="0.4">
      <c r="A8642" s="4"/>
      <c r="B8642" s="4"/>
      <c r="D8642" s="4"/>
      <c r="E8642" s="4"/>
      <c r="F8642" s="4"/>
    </row>
    <row r="8643" spans="1:6" x14ac:dyDescent="0.4">
      <c r="A8643" s="4"/>
      <c r="B8643" s="4"/>
      <c r="D8643" s="4"/>
      <c r="E8643" s="4"/>
      <c r="F8643" s="4"/>
    </row>
    <row r="8644" spans="1:6" x14ac:dyDescent="0.4">
      <c r="A8644" s="4"/>
      <c r="B8644" s="4"/>
      <c r="D8644" s="4"/>
      <c r="E8644" s="4"/>
      <c r="F8644" s="4"/>
    </row>
    <row r="8645" spans="1:6" x14ac:dyDescent="0.4">
      <c r="A8645" s="4"/>
      <c r="B8645" s="4"/>
      <c r="D8645" s="4"/>
      <c r="E8645" s="4"/>
      <c r="F8645" s="4"/>
    </row>
    <row r="8646" spans="1:6" x14ac:dyDescent="0.4">
      <c r="A8646" s="4"/>
      <c r="B8646" s="4"/>
      <c r="D8646" s="4"/>
      <c r="E8646" s="4"/>
      <c r="F8646" s="4"/>
    </row>
    <row r="8647" spans="1:6" x14ac:dyDescent="0.4">
      <c r="A8647" s="4"/>
      <c r="B8647" s="4"/>
      <c r="D8647" s="4"/>
      <c r="E8647" s="4"/>
      <c r="F8647" s="4"/>
    </row>
    <row r="8648" spans="1:6" x14ac:dyDescent="0.4">
      <c r="A8648" s="4"/>
      <c r="B8648" s="4"/>
      <c r="D8648" s="4"/>
      <c r="E8648" s="4"/>
      <c r="F8648" s="4"/>
    </row>
    <row r="8649" spans="1:6" x14ac:dyDescent="0.4">
      <c r="A8649" s="4"/>
      <c r="B8649" s="4"/>
      <c r="D8649" s="4"/>
      <c r="E8649" s="4"/>
      <c r="F8649" s="4"/>
    </row>
    <row r="8650" spans="1:6" x14ac:dyDescent="0.4">
      <c r="A8650" s="4"/>
      <c r="B8650" s="4"/>
      <c r="D8650" s="4"/>
      <c r="E8650" s="4"/>
      <c r="F8650" s="4"/>
    </row>
    <row r="8651" spans="1:6" x14ac:dyDescent="0.4">
      <c r="A8651" s="4"/>
      <c r="B8651" s="4"/>
      <c r="D8651" s="4"/>
      <c r="E8651" s="4"/>
      <c r="F8651" s="4"/>
    </row>
    <row r="8652" spans="1:6" x14ac:dyDescent="0.4">
      <c r="A8652" s="4"/>
      <c r="B8652" s="4"/>
      <c r="D8652" s="4"/>
      <c r="E8652" s="4"/>
      <c r="F8652" s="4"/>
    </row>
    <row r="8653" spans="1:6" x14ac:dyDescent="0.4">
      <c r="A8653" s="4"/>
      <c r="B8653" s="4"/>
      <c r="D8653" s="4"/>
      <c r="E8653" s="4"/>
      <c r="F8653" s="4"/>
    </row>
    <row r="8654" spans="1:6" x14ac:dyDescent="0.4">
      <c r="A8654" s="4"/>
      <c r="B8654" s="4"/>
      <c r="D8654" s="4"/>
      <c r="E8654" s="4"/>
      <c r="F8654" s="4"/>
    </row>
    <row r="8655" spans="1:6" x14ac:dyDescent="0.4">
      <c r="A8655" s="4"/>
      <c r="B8655" s="4"/>
      <c r="D8655" s="4"/>
      <c r="E8655" s="4"/>
      <c r="F8655" s="4"/>
    </row>
    <row r="8656" spans="1:6" x14ac:dyDescent="0.4">
      <c r="A8656" s="4"/>
      <c r="B8656" s="4"/>
      <c r="D8656" s="4"/>
      <c r="E8656" s="4"/>
      <c r="F8656" s="4"/>
    </row>
    <row r="8657" spans="1:6" x14ac:dyDescent="0.4">
      <c r="A8657" s="4"/>
      <c r="B8657" s="4"/>
      <c r="D8657" s="4"/>
      <c r="E8657" s="4"/>
      <c r="F8657" s="4"/>
    </row>
    <row r="8658" spans="1:6" x14ac:dyDescent="0.4">
      <c r="A8658" s="4"/>
      <c r="B8658" s="4"/>
      <c r="D8658" s="4"/>
      <c r="E8658" s="4"/>
      <c r="F8658" s="4"/>
    </row>
    <row r="8659" spans="1:6" x14ac:dyDescent="0.4">
      <c r="A8659" s="4"/>
      <c r="B8659" s="4"/>
      <c r="D8659" s="4"/>
      <c r="E8659" s="4"/>
      <c r="F8659" s="4"/>
    </row>
    <row r="8660" spans="1:6" x14ac:dyDescent="0.4">
      <c r="A8660" s="4"/>
      <c r="B8660" s="4"/>
      <c r="D8660" s="4"/>
      <c r="E8660" s="4"/>
      <c r="F8660" s="4"/>
    </row>
    <row r="8661" spans="1:6" x14ac:dyDescent="0.4">
      <c r="A8661" s="4"/>
      <c r="B8661" s="4"/>
      <c r="D8661" s="4"/>
      <c r="E8661" s="4"/>
      <c r="F8661" s="4"/>
    </row>
    <row r="8662" spans="1:6" x14ac:dyDescent="0.4">
      <c r="A8662" s="4"/>
      <c r="B8662" s="4"/>
      <c r="D8662" s="4"/>
      <c r="E8662" s="4"/>
      <c r="F8662" s="4"/>
    </row>
    <row r="8663" spans="1:6" x14ac:dyDescent="0.4">
      <c r="A8663" s="4"/>
      <c r="B8663" s="4"/>
      <c r="D8663" s="4"/>
      <c r="E8663" s="4"/>
      <c r="F8663" s="4"/>
    </row>
    <row r="8664" spans="1:6" x14ac:dyDescent="0.4">
      <c r="A8664" s="4"/>
      <c r="B8664" s="4"/>
      <c r="D8664" s="4"/>
      <c r="E8664" s="4"/>
      <c r="F8664" s="4"/>
    </row>
    <row r="8665" spans="1:6" x14ac:dyDescent="0.4">
      <c r="A8665" s="4"/>
      <c r="B8665" s="4"/>
      <c r="D8665" s="4"/>
      <c r="E8665" s="4"/>
      <c r="F8665" s="4"/>
    </row>
    <row r="8666" spans="1:6" x14ac:dyDescent="0.4">
      <c r="A8666" s="4"/>
      <c r="B8666" s="4"/>
      <c r="D8666" s="4"/>
      <c r="E8666" s="4"/>
      <c r="F8666" s="4"/>
    </row>
    <row r="8667" spans="1:6" x14ac:dyDescent="0.4">
      <c r="A8667" s="4"/>
      <c r="B8667" s="4"/>
      <c r="D8667" s="4"/>
      <c r="E8667" s="4"/>
      <c r="F8667" s="4"/>
    </row>
    <row r="8668" spans="1:6" x14ac:dyDescent="0.4">
      <c r="A8668" s="4"/>
      <c r="B8668" s="4"/>
      <c r="D8668" s="4"/>
      <c r="E8668" s="4"/>
      <c r="F8668" s="4"/>
    </row>
    <row r="8669" spans="1:6" x14ac:dyDescent="0.4">
      <c r="A8669" s="4"/>
      <c r="B8669" s="4"/>
      <c r="D8669" s="4"/>
      <c r="E8669" s="4"/>
      <c r="F8669" s="4"/>
    </row>
    <row r="8670" spans="1:6" x14ac:dyDescent="0.4">
      <c r="A8670" s="4"/>
      <c r="B8670" s="4"/>
      <c r="D8670" s="4"/>
      <c r="E8670" s="4"/>
      <c r="F8670" s="4"/>
    </row>
    <row r="8671" spans="1:6" x14ac:dyDescent="0.4">
      <c r="A8671" s="4"/>
      <c r="B8671" s="4"/>
      <c r="D8671" s="4"/>
      <c r="E8671" s="4"/>
      <c r="F8671" s="4"/>
    </row>
    <row r="8672" spans="1:6" x14ac:dyDescent="0.4">
      <c r="A8672" s="4"/>
      <c r="B8672" s="4"/>
      <c r="D8672" s="4"/>
      <c r="E8672" s="4"/>
      <c r="F8672" s="4"/>
    </row>
    <row r="8673" spans="1:6" x14ac:dyDescent="0.4">
      <c r="A8673" s="4"/>
      <c r="B8673" s="4"/>
      <c r="D8673" s="4"/>
      <c r="E8673" s="4"/>
      <c r="F8673" s="4"/>
    </row>
    <row r="8674" spans="1:6" x14ac:dyDescent="0.4">
      <c r="A8674" s="4"/>
      <c r="B8674" s="4"/>
      <c r="D8674" s="4"/>
      <c r="E8674" s="4"/>
      <c r="F8674" s="4"/>
    </row>
    <row r="8675" spans="1:6" x14ac:dyDescent="0.4">
      <c r="A8675" s="4"/>
      <c r="B8675" s="4"/>
      <c r="D8675" s="4"/>
      <c r="E8675" s="4"/>
      <c r="F8675" s="4"/>
    </row>
    <row r="8676" spans="1:6" x14ac:dyDescent="0.4">
      <c r="A8676" s="4"/>
      <c r="B8676" s="4"/>
      <c r="D8676" s="4"/>
      <c r="E8676" s="4"/>
      <c r="F8676" s="4"/>
    </row>
    <row r="8677" spans="1:6" x14ac:dyDescent="0.4">
      <c r="A8677" s="4"/>
      <c r="B8677" s="4"/>
      <c r="D8677" s="4"/>
      <c r="E8677" s="4"/>
      <c r="F8677" s="4"/>
    </row>
    <row r="8678" spans="1:6" x14ac:dyDescent="0.4">
      <c r="A8678" s="4"/>
      <c r="B8678" s="4"/>
      <c r="D8678" s="4"/>
      <c r="E8678" s="4"/>
      <c r="F8678" s="4"/>
    </row>
    <row r="8679" spans="1:6" x14ac:dyDescent="0.4">
      <c r="A8679" s="4"/>
      <c r="B8679" s="4"/>
      <c r="D8679" s="4"/>
      <c r="E8679" s="4"/>
      <c r="F8679" s="4"/>
    </row>
    <row r="8680" spans="1:6" x14ac:dyDescent="0.4">
      <c r="A8680" s="4"/>
      <c r="B8680" s="4"/>
      <c r="D8680" s="4"/>
      <c r="E8680" s="4"/>
      <c r="F8680" s="4"/>
    </row>
    <row r="8681" spans="1:6" x14ac:dyDescent="0.4">
      <c r="A8681" s="4"/>
      <c r="B8681" s="4"/>
      <c r="D8681" s="4"/>
      <c r="E8681" s="4"/>
      <c r="F8681" s="4"/>
    </row>
    <row r="8682" spans="1:6" x14ac:dyDescent="0.4">
      <c r="A8682" s="4"/>
      <c r="B8682" s="4"/>
      <c r="D8682" s="4"/>
      <c r="E8682" s="4"/>
      <c r="F8682" s="4"/>
    </row>
    <row r="8683" spans="1:6" x14ac:dyDescent="0.4">
      <c r="A8683" s="4"/>
      <c r="B8683" s="4"/>
      <c r="D8683" s="4"/>
      <c r="E8683" s="4"/>
      <c r="F8683" s="4"/>
    </row>
    <row r="8684" spans="1:6" x14ac:dyDescent="0.4">
      <c r="A8684" s="4"/>
      <c r="B8684" s="4"/>
      <c r="D8684" s="4"/>
      <c r="E8684" s="4"/>
      <c r="F8684" s="4"/>
    </row>
    <row r="8685" spans="1:6" x14ac:dyDescent="0.4">
      <c r="A8685" s="4"/>
      <c r="B8685" s="4"/>
      <c r="D8685" s="4"/>
      <c r="E8685" s="4"/>
      <c r="F8685" s="4"/>
    </row>
    <row r="8686" spans="1:6" x14ac:dyDescent="0.4">
      <c r="A8686" s="4"/>
      <c r="B8686" s="4"/>
      <c r="D8686" s="4"/>
      <c r="E8686" s="4"/>
      <c r="F8686" s="4"/>
    </row>
    <row r="8687" spans="1:6" x14ac:dyDescent="0.4">
      <c r="A8687" s="4"/>
      <c r="B8687" s="4"/>
      <c r="D8687" s="4"/>
      <c r="E8687" s="4"/>
      <c r="F8687" s="4"/>
    </row>
    <row r="8688" spans="1:6" x14ac:dyDescent="0.4">
      <c r="A8688" s="4"/>
      <c r="B8688" s="4"/>
      <c r="D8688" s="4"/>
      <c r="E8688" s="4"/>
      <c r="F8688" s="4"/>
    </row>
    <row r="8689" spans="1:6" x14ac:dyDescent="0.4">
      <c r="A8689" s="4"/>
      <c r="B8689" s="4"/>
      <c r="D8689" s="4"/>
      <c r="E8689" s="4"/>
      <c r="F8689" s="4"/>
    </row>
    <row r="8690" spans="1:6" x14ac:dyDescent="0.4">
      <c r="A8690" s="4"/>
      <c r="B8690" s="4"/>
      <c r="D8690" s="4"/>
      <c r="E8690" s="4"/>
      <c r="F8690" s="4"/>
    </row>
    <row r="8691" spans="1:6" x14ac:dyDescent="0.4">
      <c r="A8691" s="4"/>
      <c r="B8691" s="4"/>
      <c r="D8691" s="4"/>
      <c r="E8691" s="4"/>
      <c r="F8691" s="4"/>
    </row>
    <row r="8692" spans="1:6" x14ac:dyDescent="0.4">
      <c r="A8692" s="4"/>
      <c r="B8692" s="4"/>
      <c r="D8692" s="4"/>
      <c r="E8692" s="4"/>
      <c r="F8692" s="4"/>
    </row>
    <row r="8693" spans="1:6" x14ac:dyDescent="0.4">
      <c r="A8693" s="4"/>
      <c r="B8693" s="4"/>
      <c r="D8693" s="4"/>
      <c r="E8693" s="4"/>
      <c r="F8693" s="4"/>
    </row>
    <row r="8694" spans="1:6" x14ac:dyDescent="0.4">
      <c r="A8694" s="4"/>
      <c r="B8694" s="4"/>
      <c r="D8694" s="4"/>
      <c r="E8694" s="4"/>
      <c r="F8694" s="4"/>
    </row>
    <row r="8695" spans="1:6" x14ac:dyDescent="0.4">
      <c r="A8695" s="4"/>
      <c r="B8695" s="4"/>
      <c r="D8695" s="4"/>
      <c r="E8695" s="4"/>
      <c r="F8695" s="4"/>
    </row>
    <row r="8696" spans="1:6" x14ac:dyDescent="0.4">
      <c r="A8696" s="4"/>
      <c r="B8696" s="4"/>
      <c r="D8696" s="4"/>
      <c r="E8696" s="4"/>
      <c r="F8696" s="4"/>
    </row>
    <row r="8697" spans="1:6" x14ac:dyDescent="0.4">
      <c r="A8697" s="4"/>
      <c r="B8697" s="4"/>
      <c r="D8697" s="4"/>
      <c r="E8697" s="4"/>
      <c r="F8697" s="4"/>
    </row>
    <row r="8698" spans="1:6" x14ac:dyDescent="0.4">
      <c r="A8698" s="4"/>
      <c r="B8698" s="4"/>
      <c r="D8698" s="4"/>
      <c r="E8698" s="4"/>
      <c r="F8698" s="4"/>
    </row>
    <row r="8699" spans="1:6" x14ac:dyDescent="0.4">
      <c r="A8699" s="4"/>
      <c r="B8699" s="4"/>
      <c r="D8699" s="4"/>
      <c r="E8699" s="4"/>
      <c r="F8699" s="4"/>
    </row>
    <row r="8700" spans="1:6" x14ac:dyDescent="0.4">
      <c r="A8700" s="4"/>
      <c r="B8700" s="4"/>
      <c r="D8700" s="4"/>
      <c r="E8700" s="4"/>
      <c r="F8700" s="4"/>
    </row>
    <row r="8701" spans="1:6" x14ac:dyDescent="0.4">
      <c r="A8701" s="4"/>
      <c r="B8701" s="4"/>
      <c r="D8701" s="4"/>
      <c r="E8701" s="4"/>
      <c r="F8701" s="4"/>
    </row>
    <row r="8702" spans="1:6" x14ac:dyDescent="0.4">
      <c r="A8702" s="4"/>
      <c r="B8702" s="4"/>
      <c r="D8702" s="4"/>
      <c r="E8702" s="4"/>
      <c r="F8702" s="4"/>
    </row>
    <row r="8703" spans="1:6" x14ac:dyDescent="0.4">
      <c r="A8703" s="4"/>
      <c r="B8703" s="4"/>
      <c r="D8703" s="4"/>
      <c r="E8703" s="4"/>
      <c r="F8703" s="4"/>
    </row>
    <row r="8704" spans="1:6" x14ac:dyDescent="0.4">
      <c r="A8704" s="4"/>
      <c r="B8704" s="4"/>
      <c r="D8704" s="4"/>
      <c r="E8704" s="4"/>
      <c r="F8704" s="4"/>
    </row>
    <row r="8705" spans="1:6" x14ac:dyDescent="0.4">
      <c r="A8705" s="4"/>
      <c r="B8705" s="4"/>
      <c r="D8705" s="4"/>
      <c r="E8705" s="4"/>
      <c r="F8705" s="4"/>
    </row>
    <row r="8706" spans="1:6" x14ac:dyDescent="0.4">
      <c r="A8706" s="4"/>
      <c r="B8706" s="4"/>
      <c r="D8706" s="4"/>
      <c r="E8706" s="4"/>
      <c r="F8706" s="4"/>
    </row>
    <row r="8707" spans="1:6" x14ac:dyDescent="0.4">
      <c r="A8707" s="4"/>
      <c r="B8707" s="4"/>
      <c r="D8707" s="4"/>
      <c r="E8707" s="4"/>
      <c r="F8707" s="4"/>
    </row>
    <row r="8708" spans="1:6" x14ac:dyDescent="0.4">
      <c r="A8708" s="4"/>
      <c r="B8708" s="4"/>
      <c r="D8708" s="4"/>
      <c r="E8708" s="4"/>
      <c r="F8708" s="4"/>
    </row>
    <row r="8709" spans="1:6" x14ac:dyDescent="0.4">
      <c r="A8709" s="4"/>
      <c r="B8709" s="4"/>
      <c r="D8709" s="4"/>
      <c r="E8709" s="4"/>
      <c r="F8709" s="4"/>
    </row>
    <row r="8710" spans="1:6" x14ac:dyDescent="0.4">
      <c r="A8710" s="4"/>
      <c r="B8710" s="4"/>
      <c r="D8710" s="4"/>
      <c r="E8710" s="4"/>
      <c r="F8710" s="4"/>
    </row>
    <row r="8711" spans="1:6" x14ac:dyDescent="0.4">
      <c r="A8711" s="4"/>
      <c r="B8711" s="4"/>
      <c r="D8711" s="4"/>
      <c r="E8711" s="4"/>
      <c r="F8711" s="4"/>
    </row>
    <row r="8712" spans="1:6" x14ac:dyDescent="0.4">
      <c r="A8712" s="4"/>
      <c r="B8712" s="4"/>
      <c r="D8712" s="4"/>
      <c r="E8712" s="4"/>
      <c r="F8712" s="4"/>
    </row>
    <row r="8713" spans="1:6" x14ac:dyDescent="0.4">
      <c r="A8713" s="4"/>
      <c r="B8713" s="4"/>
      <c r="D8713" s="4"/>
      <c r="E8713" s="4"/>
      <c r="F8713" s="4"/>
    </row>
    <row r="8714" spans="1:6" x14ac:dyDescent="0.4">
      <c r="A8714" s="4"/>
      <c r="B8714" s="4"/>
      <c r="D8714" s="4"/>
      <c r="E8714" s="4"/>
      <c r="F8714" s="4"/>
    </row>
    <row r="8715" spans="1:6" x14ac:dyDescent="0.4">
      <c r="A8715" s="4"/>
      <c r="B8715" s="4"/>
      <c r="D8715" s="4"/>
      <c r="E8715" s="4"/>
      <c r="F8715" s="4"/>
    </row>
    <row r="8716" spans="1:6" x14ac:dyDescent="0.4">
      <c r="A8716" s="4"/>
      <c r="B8716" s="4"/>
      <c r="D8716" s="4"/>
      <c r="E8716" s="4"/>
      <c r="F8716" s="4"/>
    </row>
    <row r="8717" spans="1:6" x14ac:dyDescent="0.4">
      <c r="A8717" s="4"/>
      <c r="B8717" s="4"/>
      <c r="D8717" s="4"/>
      <c r="E8717" s="4"/>
      <c r="F8717" s="4"/>
    </row>
    <row r="8718" spans="1:6" x14ac:dyDescent="0.4">
      <c r="A8718" s="4"/>
      <c r="B8718" s="4"/>
      <c r="D8718" s="4"/>
      <c r="E8718" s="4"/>
      <c r="F8718" s="4"/>
    </row>
    <row r="8719" spans="1:6" x14ac:dyDescent="0.4">
      <c r="A8719" s="4"/>
      <c r="B8719" s="4"/>
      <c r="D8719" s="4"/>
      <c r="E8719" s="4"/>
      <c r="F8719" s="4"/>
    </row>
    <row r="8720" spans="1:6" x14ac:dyDescent="0.4">
      <c r="A8720" s="4"/>
      <c r="B8720" s="4"/>
      <c r="D8720" s="4"/>
      <c r="E8720" s="4"/>
      <c r="F8720" s="4"/>
    </row>
    <row r="8721" spans="1:6" x14ac:dyDescent="0.4">
      <c r="A8721" s="4"/>
      <c r="B8721" s="4"/>
      <c r="D8721" s="4"/>
      <c r="E8721" s="4"/>
      <c r="F8721" s="4"/>
    </row>
    <row r="8722" spans="1:6" x14ac:dyDescent="0.4">
      <c r="A8722" s="4"/>
      <c r="B8722" s="4"/>
      <c r="D8722" s="4"/>
      <c r="E8722" s="4"/>
      <c r="F8722" s="4"/>
    </row>
    <row r="8723" spans="1:6" x14ac:dyDescent="0.4">
      <c r="A8723" s="4"/>
      <c r="B8723" s="4"/>
      <c r="D8723" s="4"/>
      <c r="E8723" s="4"/>
      <c r="F8723" s="4"/>
    </row>
    <row r="8724" spans="1:6" x14ac:dyDescent="0.4">
      <c r="A8724" s="4"/>
      <c r="B8724" s="4"/>
      <c r="D8724" s="4"/>
      <c r="E8724" s="4"/>
      <c r="F8724" s="4"/>
    </row>
    <row r="8725" spans="1:6" x14ac:dyDescent="0.4">
      <c r="A8725" s="4"/>
      <c r="B8725" s="4"/>
      <c r="D8725" s="4"/>
      <c r="E8725" s="4"/>
      <c r="F8725" s="4"/>
    </row>
    <row r="8726" spans="1:6" x14ac:dyDescent="0.4">
      <c r="A8726" s="4"/>
      <c r="B8726" s="4"/>
      <c r="D8726" s="4"/>
      <c r="E8726" s="4"/>
      <c r="F8726" s="4"/>
    </row>
    <row r="8727" spans="1:6" x14ac:dyDescent="0.4">
      <c r="A8727" s="4"/>
      <c r="B8727" s="4"/>
      <c r="D8727" s="4"/>
      <c r="E8727" s="4"/>
      <c r="F8727" s="4"/>
    </row>
    <row r="8728" spans="1:6" x14ac:dyDescent="0.4">
      <c r="A8728" s="4"/>
      <c r="B8728" s="4"/>
      <c r="D8728" s="4"/>
      <c r="E8728" s="4"/>
      <c r="F8728" s="4"/>
    </row>
    <row r="8729" spans="1:6" x14ac:dyDescent="0.4">
      <c r="A8729" s="4"/>
      <c r="B8729" s="4"/>
      <c r="D8729" s="4"/>
      <c r="E8729" s="4"/>
      <c r="F8729" s="4"/>
    </row>
    <row r="8730" spans="1:6" x14ac:dyDescent="0.4">
      <c r="A8730" s="4"/>
      <c r="B8730" s="4"/>
      <c r="D8730" s="4"/>
      <c r="E8730" s="4"/>
      <c r="F8730" s="4"/>
    </row>
    <row r="8731" spans="1:6" x14ac:dyDescent="0.4">
      <c r="A8731" s="4"/>
      <c r="B8731" s="4"/>
      <c r="D8731" s="4"/>
      <c r="E8731" s="4"/>
      <c r="F8731" s="4"/>
    </row>
    <row r="8732" spans="1:6" x14ac:dyDescent="0.4">
      <c r="A8732" s="4"/>
      <c r="B8732" s="4"/>
      <c r="D8732" s="4"/>
      <c r="E8732" s="4"/>
      <c r="F8732" s="4"/>
    </row>
    <row r="8733" spans="1:6" x14ac:dyDescent="0.4">
      <c r="A8733" s="4"/>
      <c r="B8733" s="4"/>
      <c r="D8733" s="4"/>
      <c r="E8733" s="4"/>
      <c r="F8733" s="4"/>
    </row>
    <row r="8734" spans="1:6" x14ac:dyDescent="0.4">
      <c r="A8734" s="4"/>
      <c r="B8734" s="4"/>
      <c r="D8734" s="4"/>
      <c r="E8734" s="4"/>
      <c r="F8734" s="4"/>
    </row>
    <row r="8735" spans="1:6" x14ac:dyDescent="0.4">
      <c r="A8735" s="4"/>
      <c r="B8735" s="4"/>
      <c r="D8735" s="4"/>
      <c r="E8735" s="4"/>
      <c r="F8735" s="4"/>
    </row>
    <row r="8736" spans="1:6" x14ac:dyDescent="0.4">
      <c r="A8736" s="4"/>
      <c r="B8736" s="4"/>
      <c r="D8736" s="4"/>
      <c r="E8736" s="4"/>
      <c r="F8736" s="4"/>
    </row>
    <row r="8737" spans="1:6" x14ac:dyDescent="0.4">
      <c r="A8737" s="4"/>
      <c r="B8737" s="4"/>
      <c r="D8737" s="4"/>
      <c r="E8737" s="4"/>
      <c r="F8737" s="4"/>
    </row>
    <row r="8738" spans="1:6" x14ac:dyDescent="0.4">
      <c r="A8738" s="4"/>
      <c r="B8738" s="4"/>
      <c r="D8738" s="4"/>
      <c r="E8738" s="4"/>
      <c r="F8738" s="4"/>
    </row>
    <row r="8739" spans="1:6" x14ac:dyDescent="0.4">
      <c r="A8739" s="4"/>
      <c r="B8739" s="4"/>
      <c r="D8739" s="4"/>
      <c r="E8739" s="4"/>
      <c r="F8739" s="4"/>
    </row>
    <row r="8740" spans="1:6" x14ac:dyDescent="0.4">
      <c r="A8740" s="4"/>
      <c r="B8740" s="4"/>
      <c r="D8740" s="4"/>
      <c r="E8740" s="4"/>
      <c r="F8740" s="4"/>
    </row>
    <row r="8741" spans="1:6" x14ac:dyDescent="0.4">
      <c r="A8741" s="4"/>
      <c r="B8741" s="4"/>
      <c r="D8741" s="4"/>
      <c r="E8741" s="4"/>
      <c r="F8741" s="4"/>
    </row>
    <row r="8742" spans="1:6" x14ac:dyDescent="0.4">
      <c r="A8742" s="4"/>
      <c r="B8742" s="4"/>
      <c r="D8742" s="4"/>
      <c r="E8742" s="4"/>
      <c r="F8742" s="4"/>
    </row>
    <row r="8743" spans="1:6" x14ac:dyDescent="0.4">
      <c r="A8743" s="4"/>
      <c r="B8743" s="4"/>
      <c r="D8743" s="4"/>
      <c r="E8743" s="4"/>
      <c r="F8743" s="4"/>
    </row>
    <row r="8744" spans="1:6" x14ac:dyDescent="0.4">
      <c r="A8744" s="4"/>
      <c r="B8744" s="4"/>
      <c r="D8744" s="4"/>
      <c r="E8744" s="4"/>
      <c r="F8744" s="4"/>
    </row>
    <row r="8745" spans="1:6" x14ac:dyDescent="0.4">
      <c r="A8745" s="4"/>
      <c r="B8745" s="4"/>
      <c r="D8745" s="4"/>
      <c r="E8745" s="4"/>
      <c r="F8745" s="4"/>
    </row>
    <row r="8746" spans="1:6" x14ac:dyDescent="0.4">
      <c r="A8746" s="4"/>
      <c r="B8746" s="4"/>
      <c r="D8746" s="4"/>
      <c r="E8746" s="4"/>
      <c r="F8746" s="4"/>
    </row>
    <row r="8747" spans="1:6" x14ac:dyDescent="0.4">
      <c r="A8747" s="4"/>
      <c r="B8747" s="4"/>
      <c r="D8747" s="4"/>
      <c r="E8747" s="4"/>
      <c r="F8747" s="4"/>
    </row>
    <row r="8748" spans="1:6" x14ac:dyDescent="0.4">
      <c r="A8748" s="4"/>
      <c r="B8748" s="4"/>
      <c r="D8748" s="4"/>
      <c r="E8748" s="4"/>
      <c r="F8748" s="4"/>
    </row>
    <row r="8749" spans="1:6" x14ac:dyDescent="0.4">
      <c r="A8749" s="4"/>
      <c r="B8749" s="4"/>
      <c r="D8749" s="4"/>
      <c r="E8749" s="4"/>
      <c r="F8749" s="4"/>
    </row>
    <row r="8750" spans="1:6" x14ac:dyDescent="0.4">
      <c r="A8750" s="4"/>
      <c r="B8750" s="4"/>
      <c r="D8750" s="4"/>
      <c r="E8750" s="4"/>
      <c r="F8750" s="4"/>
    </row>
    <row r="8751" spans="1:6" x14ac:dyDescent="0.4">
      <c r="A8751" s="4"/>
      <c r="B8751" s="4"/>
      <c r="D8751" s="4"/>
      <c r="E8751" s="4"/>
      <c r="F8751" s="4"/>
    </row>
    <row r="8752" spans="1:6" x14ac:dyDescent="0.4">
      <c r="A8752" s="4"/>
      <c r="B8752" s="4"/>
      <c r="D8752" s="4"/>
      <c r="E8752" s="4"/>
      <c r="F8752" s="4"/>
    </row>
    <row r="8753" spans="1:6" x14ac:dyDescent="0.4">
      <c r="A8753" s="4"/>
      <c r="B8753" s="4"/>
      <c r="D8753" s="4"/>
      <c r="E8753" s="4"/>
      <c r="F8753" s="4"/>
    </row>
    <row r="8754" spans="1:6" x14ac:dyDescent="0.4">
      <c r="A8754" s="4"/>
      <c r="B8754" s="4"/>
      <c r="D8754" s="4"/>
      <c r="E8754" s="4"/>
      <c r="F8754" s="4"/>
    </row>
    <row r="8755" spans="1:6" x14ac:dyDescent="0.4">
      <c r="A8755" s="4"/>
      <c r="B8755" s="4"/>
      <c r="D8755" s="4"/>
      <c r="E8755" s="4"/>
      <c r="F8755" s="4"/>
    </row>
    <row r="8756" spans="1:6" x14ac:dyDescent="0.4">
      <c r="A8756" s="4"/>
      <c r="B8756" s="4"/>
      <c r="D8756" s="4"/>
      <c r="E8756" s="4"/>
      <c r="F8756" s="4"/>
    </row>
    <row r="8757" spans="1:6" x14ac:dyDescent="0.4">
      <c r="A8757" s="4"/>
      <c r="B8757" s="4"/>
      <c r="D8757" s="4"/>
      <c r="E8757" s="4"/>
      <c r="F8757" s="4"/>
    </row>
    <row r="8758" spans="1:6" x14ac:dyDescent="0.4">
      <c r="A8758" s="4"/>
      <c r="B8758" s="4"/>
      <c r="D8758" s="4"/>
      <c r="E8758" s="4"/>
      <c r="F8758" s="4"/>
    </row>
    <row r="8759" spans="1:6" x14ac:dyDescent="0.4">
      <c r="A8759" s="4"/>
      <c r="B8759" s="4"/>
      <c r="D8759" s="4"/>
      <c r="E8759" s="4"/>
      <c r="F8759" s="4"/>
    </row>
    <row r="8760" spans="1:6" x14ac:dyDescent="0.4">
      <c r="A8760" s="4"/>
      <c r="B8760" s="4"/>
      <c r="D8760" s="4"/>
      <c r="E8760" s="4"/>
      <c r="F8760" s="4"/>
    </row>
    <row r="8761" spans="1:6" x14ac:dyDescent="0.4">
      <c r="A8761" s="4"/>
      <c r="B8761" s="4"/>
      <c r="D8761" s="4"/>
      <c r="E8761" s="4"/>
      <c r="F8761" s="4"/>
    </row>
    <row r="8762" spans="1:6" x14ac:dyDescent="0.4">
      <c r="A8762" s="4"/>
      <c r="B8762" s="4"/>
      <c r="D8762" s="4"/>
      <c r="E8762" s="4"/>
      <c r="F8762" s="4"/>
    </row>
    <row r="8763" spans="1:6" x14ac:dyDescent="0.4">
      <c r="A8763" s="4"/>
      <c r="B8763" s="4"/>
      <c r="D8763" s="4"/>
      <c r="E8763" s="4"/>
      <c r="F8763" s="4"/>
    </row>
    <row r="8764" spans="1:6" x14ac:dyDescent="0.4">
      <c r="A8764" s="4"/>
      <c r="B8764" s="4"/>
      <c r="D8764" s="4"/>
      <c r="E8764" s="4"/>
      <c r="F8764" s="4"/>
    </row>
    <row r="8765" spans="1:6" x14ac:dyDescent="0.4">
      <c r="A8765" s="4"/>
      <c r="B8765" s="4"/>
      <c r="D8765" s="4"/>
      <c r="E8765" s="4"/>
      <c r="F8765" s="4"/>
    </row>
    <row r="8766" spans="1:6" x14ac:dyDescent="0.4">
      <c r="A8766" s="4"/>
      <c r="B8766" s="4"/>
      <c r="D8766" s="4"/>
      <c r="E8766" s="4"/>
      <c r="F8766" s="4"/>
    </row>
    <row r="8767" spans="1:6" x14ac:dyDescent="0.4">
      <c r="A8767" s="4"/>
      <c r="B8767" s="4"/>
      <c r="D8767" s="4"/>
      <c r="E8767" s="4"/>
      <c r="F8767" s="4"/>
    </row>
    <row r="8768" spans="1:6" x14ac:dyDescent="0.4">
      <c r="A8768" s="4"/>
      <c r="B8768" s="4"/>
      <c r="D8768" s="4"/>
      <c r="E8768" s="4"/>
      <c r="F8768" s="4"/>
    </row>
    <row r="8769" spans="1:6" x14ac:dyDescent="0.4">
      <c r="A8769" s="4"/>
      <c r="B8769" s="4"/>
      <c r="D8769" s="4"/>
      <c r="E8769" s="4"/>
      <c r="F8769" s="4"/>
    </row>
    <row r="8770" spans="1:6" x14ac:dyDescent="0.4">
      <c r="A8770" s="4"/>
      <c r="B8770" s="4"/>
      <c r="D8770" s="4"/>
      <c r="E8770" s="4"/>
      <c r="F8770" s="4"/>
    </row>
    <row r="8771" spans="1:6" x14ac:dyDescent="0.4">
      <c r="A8771" s="4"/>
      <c r="B8771" s="4"/>
      <c r="D8771" s="4"/>
      <c r="E8771" s="4"/>
      <c r="F8771" s="4"/>
    </row>
    <row r="8772" spans="1:6" x14ac:dyDescent="0.4">
      <c r="A8772" s="4"/>
      <c r="B8772" s="4"/>
      <c r="D8772" s="4"/>
      <c r="E8772" s="4"/>
      <c r="F8772" s="4"/>
    </row>
    <row r="8773" spans="1:6" x14ac:dyDescent="0.4">
      <c r="A8773" s="4"/>
      <c r="B8773" s="4"/>
      <c r="D8773" s="4"/>
      <c r="E8773" s="4"/>
      <c r="F8773" s="4"/>
    </row>
    <row r="8774" spans="1:6" x14ac:dyDescent="0.4">
      <c r="A8774" s="4"/>
      <c r="B8774" s="4"/>
      <c r="D8774" s="4"/>
      <c r="E8774" s="4"/>
      <c r="F8774" s="4"/>
    </row>
    <row r="8775" spans="1:6" x14ac:dyDescent="0.4">
      <c r="A8775" s="4"/>
      <c r="B8775" s="4"/>
      <c r="D8775" s="4"/>
      <c r="E8775" s="4"/>
      <c r="F8775" s="4"/>
    </row>
    <row r="8776" spans="1:6" x14ac:dyDescent="0.4">
      <c r="A8776" s="4"/>
      <c r="B8776" s="4"/>
      <c r="D8776" s="4"/>
      <c r="E8776" s="4"/>
      <c r="F8776" s="4"/>
    </row>
    <row r="8777" spans="1:6" x14ac:dyDescent="0.4">
      <c r="A8777" s="4"/>
      <c r="B8777" s="4"/>
      <c r="D8777" s="4"/>
      <c r="E8777" s="4"/>
      <c r="F8777" s="4"/>
    </row>
    <row r="8778" spans="1:6" x14ac:dyDescent="0.4">
      <c r="A8778" s="4"/>
      <c r="B8778" s="4"/>
      <c r="D8778" s="4"/>
      <c r="E8778" s="4"/>
      <c r="F8778" s="4"/>
    </row>
    <row r="8779" spans="1:6" x14ac:dyDescent="0.4">
      <c r="A8779" s="4"/>
      <c r="B8779" s="4"/>
      <c r="D8779" s="4"/>
      <c r="E8779" s="4"/>
      <c r="F8779" s="4"/>
    </row>
    <row r="8780" spans="1:6" x14ac:dyDescent="0.4">
      <c r="A8780" s="4"/>
      <c r="B8780" s="4"/>
      <c r="D8780" s="4"/>
      <c r="E8780" s="4"/>
      <c r="F8780" s="4"/>
    </row>
    <row r="8781" spans="1:6" x14ac:dyDescent="0.4">
      <c r="A8781" s="4"/>
      <c r="B8781" s="4"/>
      <c r="D8781" s="4"/>
      <c r="E8781" s="4"/>
      <c r="F8781" s="4"/>
    </row>
    <row r="8782" spans="1:6" x14ac:dyDescent="0.4">
      <c r="A8782" s="4"/>
      <c r="B8782" s="4"/>
      <c r="D8782" s="4"/>
      <c r="E8782" s="4"/>
      <c r="F8782" s="4"/>
    </row>
    <row r="8783" spans="1:6" x14ac:dyDescent="0.4">
      <c r="A8783" s="4"/>
      <c r="B8783" s="4"/>
      <c r="D8783" s="4"/>
      <c r="E8783" s="4"/>
      <c r="F8783" s="4"/>
    </row>
    <row r="8784" spans="1:6" x14ac:dyDescent="0.4">
      <c r="A8784" s="4"/>
      <c r="B8784" s="4"/>
      <c r="D8784" s="4"/>
      <c r="E8784" s="4"/>
      <c r="F8784" s="4"/>
    </row>
    <row r="8785" spans="1:6" x14ac:dyDescent="0.4">
      <c r="A8785" s="4"/>
      <c r="B8785" s="4"/>
      <c r="D8785" s="4"/>
      <c r="E8785" s="4"/>
      <c r="F8785" s="4"/>
    </row>
    <row r="8786" spans="1:6" x14ac:dyDescent="0.4">
      <c r="A8786" s="4"/>
      <c r="B8786" s="4"/>
      <c r="D8786" s="4"/>
      <c r="E8786" s="4"/>
      <c r="F8786" s="4"/>
    </row>
    <row r="8787" spans="1:6" x14ac:dyDescent="0.4">
      <c r="A8787" s="4"/>
      <c r="B8787" s="4"/>
      <c r="D8787" s="4"/>
      <c r="E8787" s="4"/>
      <c r="F8787" s="4"/>
    </row>
    <row r="8788" spans="1:6" x14ac:dyDescent="0.4">
      <c r="A8788" s="4"/>
      <c r="B8788" s="4"/>
      <c r="D8788" s="4"/>
      <c r="E8788" s="4"/>
      <c r="F8788" s="4"/>
    </row>
    <row r="8789" spans="1:6" x14ac:dyDescent="0.4">
      <c r="A8789" s="4"/>
      <c r="B8789" s="4"/>
      <c r="D8789" s="4"/>
      <c r="E8789" s="4"/>
      <c r="F8789" s="4"/>
    </row>
    <row r="8790" spans="1:6" x14ac:dyDescent="0.4">
      <c r="A8790" s="4"/>
      <c r="B8790" s="4"/>
      <c r="D8790" s="4"/>
      <c r="E8790" s="4"/>
      <c r="F8790" s="4"/>
    </row>
    <row r="8791" spans="1:6" x14ac:dyDescent="0.4">
      <c r="A8791" s="4"/>
      <c r="B8791" s="4"/>
      <c r="D8791" s="4"/>
      <c r="E8791" s="4"/>
      <c r="F8791" s="4"/>
    </row>
    <row r="8792" spans="1:6" x14ac:dyDescent="0.4">
      <c r="A8792" s="4"/>
      <c r="B8792" s="4"/>
      <c r="D8792" s="4"/>
      <c r="E8792" s="4"/>
      <c r="F8792" s="4"/>
    </row>
    <row r="8793" spans="1:6" x14ac:dyDescent="0.4">
      <c r="A8793" s="4"/>
      <c r="B8793" s="4"/>
      <c r="D8793" s="4"/>
      <c r="E8793" s="4"/>
      <c r="F8793" s="4"/>
    </row>
    <row r="8794" spans="1:6" x14ac:dyDescent="0.4">
      <c r="A8794" s="4"/>
      <c r="B8794" s="4"/>
      <c r="D8794" s="4"/>
      <c r="E8794" s="4"/>
      <c r="F8794" s="4"/>
    </row>
    <row r="8795" spans="1:6" x14ac:dyDescent="0.4">
      <c r="A8795" s="4"/>
      <c r="B8795" s="4"/>
      <c r="D8795" s="4"/>
      <c r="E8795" s="4"/>
      <c r="F8795" s="4"/>
    </row>
    <row r="8796" spans="1:6" x14ac:dyDescent="0.4">
      <c r="A8796" s="4"/>
      <c r="B8796" s="4"/>
      <c r="D8796" s="4"/>
      <c r="E8796" s="4"/>
      <c r="F8796" s="4"/>
    </row>
    <row r="8797" spans="1:6" x14ac:dyDescent="0.4">
      <c r="A8797" s="4"/>
      <c r="B8797" s="4"/>
      <c r="D8797" s="4"/>
      <c r="E8797" s="4"/>
      <c r="F8797" s="4"/>
    </row>
    <row r="8798" spans="1:6" x14ac:dyDescent="0.4">
      <c r="A8798" s="4"/>
      <c r="B8798" s="4"/>
      <c r="D8798" s="4"/>
      <c r="E8798" s="4"/>
      <c r="F8798" s="4"/>
    </row>
    <row r="8799" spans="1:6" x14ac:dyDescent="0.4">
      <c r="A8799" s="4"/>
      <c r="B8799" s="4"/>
      <c r="D8799" s="4"/>
      <c r="E8799" s="4"/>
      <c r="F8799" s="4"/>
    </row>
    <row r="8800" spans="1:6" x14ac:dyDescent="0.4">
      <c r="A8800" s="4"/>
      <c r="B8800" s="4"/>
      <c r="D8800" s="4"/>
      <c r="E8800" s="4"/>
      <c r="F8800" s="4"/>
    </row>
    <row r="8801" spans="1:6" x14ac:dyDescent="0.4">
      <c r="A8801" s="4"/>
      <c r="B8801" s="4"/>
      <c r="D8801" s="4"/>
      <c r="E8801" s="4"/>
      <c r="F8801" s="4"/>
    </row>
    <row r="8802" spans="1:6" x14ac:dyDescent="0.4">
      <c r="A8802" s="4"/>
      <c r="B8802" s="4"/>
      <c r="D8802" s="4"/>
      <c r="E8802" s="4"/>
      <c r="F8802" s="4"/>
    </row>
    <row r="8803" spans="1:6" x14ac:dyDescent="0.4">
      <c r="A8803" s="4"/>
      <c r="B8803" s="4"/>
      <c r="D8803" s="4"/>
      <c r="E8803" s="4"/>
      <c r="F8803" s="4"/>
    </row>
    <row r="8804" spans="1:6" x14ac:dyDescent="0.4">
      <c r="A8804" s="4"/>
      <c r="B8804" s="4"/>
      <c r="D8804" s="4"/>
      <c r="E8804" s="4"/>
      <c r="F8804" s="4"/>
    </row>
    <row r="8805" spans="1:6" x14ac:dyDescent="0.4">
      <c r="A8805" s="4"/>
      <c r="B8805" s="4"/>
      <c r="D8805" s="4"/>
      <c r="E8805" s="4"/>
      <c r="F8805" s="4"/>
    </row>
    <row r="8806" spans="1:6" x14ac:dyDescent="0.4">
      <c r="A8806" s="4"/>
      <c r="B8806" s="4"/>
      <c r="D8806" s="4"/>
      <c r="E8806" s="4"/>
      <c r="F8806" s="4"/>
    </row>
    <row r="8807" spans="1:6" x14ac:dyDescent="0.4">
      <c r="A8807" s="4"/>
      <c r="B8807" s="4"/>
      <c r="D8807" s="4"/>
      <c r="E8807" s="4"/>
      <c r="F8807" s="4"/>
    </row>
    <row r="8808" spans="1:6" x14ac:dyDescent="0.4">
      <c r="A8808" s="4"/>
      <c r="B8808" s="4"/>
      <c r="D8808" s="4"/>
      <c r="E8808" s="4"/>
      <c r="F8808" s="4"/>
    </row>
    <row r="8809" spans="1:6" x14ac:dyDescent="0.4">
      <c r="A8809" s="4"/>
      <c r="B8809" s="4"/>
      <c r="D8809" s="4"/>
      <c r="E8809" s="4"/>
      <c r="F8809" s="4"/>
    </row>
    <row r="8810" spans="1:6" x14ac:dyDescent="0.4">
      <c r="A8810" s="4"/>
      <c r="B8810" s="4"/>
      <c r="D8810" s="4"/>
      <c r="E8810" s="4"/>
      <c r="F8810" s="4"/>
    </row>
    <row r="8811" spans="1:6" x14ac:dyDescent="0.4">
      <c r="A8811" s="4"/>
      <c r="B8811" s="4"/>
      <c r="D8811" s="4"/>
      <c r="E8811" s="4"/>
      <c r="F8811" s="4"/>
    </row>
    <row r="8812" spans="1:6" x14ac:dyDescent="0.4">
      <c r="A8812" s="4"/>
      <c r="B8812" s="4"/>
      <c r="D8812" s="4"/>
      <c r="E8812" s="4"/>
      <c r="F8812" s="4"/>
    </row>
    <row r="8813" spans="1:6" x14ac:dyDescent="0.4">
      <c r="A8813" s="4"/>
      <c r="B8813" s="4"/>
      <c r="D8813" s="4"/>
      <c r="E8813" s="4"/>
      <c r="F8813" s="4"/>
    </row>
    <row r="8814" spans="1:6" x14ac:dyDescent="0.4">
      <c r="A8814" s="4"/>
      <c r="B8814" s="4"/>
      <c r="D8814" s="4"/>
      <c r="E8814" s="4"/>
      <c r="F8814" s="4"/>
    </row>
    <row r="8815" spans="1:6" x14ac:dyDescent="0.4">
      <c r="A8815" s="4"/>
      <c r="B8815" s="4"/>
      <c r="D8815" s="4"/>
      <c r="E8815" s="4"/>
      <c r="F8815" s="4"/>
    </row>
    <row r="8816" spans="1:6" x14ac:dyDescent="0.4">
      <c r="A8816" s="4"/>
      <c r="B8816" s="4"/>
      <c r="D8816" s="4"/>
      <c r="E8816" s="4"/>
      <c r="F8816" s="4"/>
    </row>
    <row r="8817" spans="1:6" x14ac:dyDescent="0.4">
      <c r="A8817" s="4"/>
      <c r="B8817" s="4"/>
      <c r="D8817" s="4"/>
      <c r="E8817" s="4"/>
      <c r="F8817" s="4"/>
    </row>
    <row r="8818" spans="1:6" x14ac:dyDescent="0.4">
      <c r="A8818" s="4"/>
      <c r="B8818" s="4"/>
      <c r="D8818" s="4"/>
      <c r="E8818" s="4"/>
      <c r="F8818" s="4"/>
    </row>
    <row r="8819" spans="1:6" x14ac:dyDescent="0.4">
      <c r="A8819" s="4"/>
      <c r="B8819" s="4"/>
      <c r="D8819" s="4"/>
      <c r="E8819" s="4"/>
      <c r="F8819" s="4"/>
    </row>
    <row r="8820" spans="1:6" x14ac:dyDescent="0.4">
      <c r="A8820" s="4"/>
      <c r="B8820" s="4"/>
      <c r="D8820" s="4"/>
      <c r="E8820" s="4"/>
      <c r="F8820" s="4"/>
    </row>
    <row r="8821" spans="1:6" x14ac:dyDescent="0.4">
      <c r="A8821" s="4"/>
      <c r="B8821" s="4"/>
      <c r="D8821" s="4"/>
      <c r="E8821" s="4"/>
      <c r="F8821" s="4"/>
    </row>
    <row r="8822" spans="1:6" x14ac:dyDescent="0.4">
      <c r="A8822" s="4"/>
      <c r="B8822" s="4"/>
      <c r="D8822" s="4"/>
      <c r="E8822" s="4"/>
      <c r="F8822" s="4"/>
    </row>
    <row r="8823" spans="1:6" x14ac:dyDescent="0.4">
      <c r="A8823" s="4"/>
      <c r="B8823" s="4"/>
      <c r="D8823" s="4"/>
      <c r="E8823" s="4"/>
      <c r="F8823" s="4"/>
    </row>
    <row r="8824" spans="1:6" x14ac:dyDescent="0.4">
      <c r="A8824" s="4"/>
      <c r="B8824" s="4"/>
      <c r="D8824" s="4"/>
      <c r="E8824" s="4"/>
      <c r="F8824" s="4"/>
    </row>
    <row r="8825" spans="1:6" x14ac:dyDescent="0.4">
      <c r="A8825" s="4"/>
      <c r="B8825" s="4"/>
      <c r="D8825" s="4"/>
      <c r="E8825" s="4"/>
      <c r="F8825" s="4"/>
    </row>
    <row r="8826" spans="1:6" x14ac:dyDescent="0.4">
      <c r="A8826" s="4"/>
      <c r="B8826" s="4"/>
      <c r="D8826" s="4"/>
      <c r="E8826" s="4"/>
      <c r="F8826" s="4"/>
    </row>
    <row r="8827" spans="1:6" x14ac:dyDescent="0.4">
      <c r="A8827" s="4"/>
      <c r="B8827" s="4"/>
      <c r="D8827" s="4"/>
      <c r="E8827" s="4"/>
      <c r="F8827" s="4"/>
    </row>
    <row r="8828" spans="1:6" x14ac:dyDescent="0.4">
      <c r="A8828" s="4"/>
      <c r="B8828" s="4"/>
      <c r="D8828" s="4"/>
      <c r="E8828" s="4"/>
      <c r="F8828" s="4"/>
    </row>
    <row r="8829" spans="1:6" x14ac:dyDescent="0.4">
      <c r="A8829" s="4"/>
      <c r="B8829" s="4"/>
      <c r="D8829" s="4"/>
      <c r="E8829" s="4"/>
      <c r="F8829" s="4"/>
    </row>
    <row r="8830" spans="1:6" x14ac:dyDescent="0.4">
      <c r="A8830" s="4"/>
      <c r="B8830" s="4"/>
      <c r="D8830" s="4"/>
      <c r="E8830" s="4"/>
      <c r="F8830" s="4"/>
    </row>
    <row r="8831" spans="1:6" x14ac:dyDescent="0.4">
      <c r="A8831" s="4"/>
      <c r="B8831" s="4"/>
      <c r="D8831" s="4"/>
      <c r="E8831" s="4"/>
      <c r="F8831" s="4"/>
    </row>
    <row r="8832" spans="1:6" x14ac:dyDescent="0.4">
      <c r="A8832" s="4"/>
      <c r="B8832" s="4"/>
      <c r="D8832" s="4"/>
      <c r="E8832" s="4"/>
      <c r="F8832" s="4"/>
    </row>
    <row r="8833" spans="1:6" x14ac:dyDescent="0.4">
      <c r="A8833" s="4"/>
      <c r="B8833" s="4"/>
      <c r="D8833" s="4"/>
      <c r="E8833" s="4"/>
      <c r="F8833" s="4"/>
    </row>
    <row r="8834" spans="1:6" x14ac:dyDescent="0.4">
      <c r="A8834" s="4"/>
      <c r="B8834" s="4"/>
      <c r="D8834" s="4"/>
      <c r="E8834" s="4"/>
      <c r="F8834" s="4"/>
    </row>
    <row r="8835" spans="1:6" x14ac:dyDescent="0.4">
      <c r="A8835" s="4"/>
      <c r="B8835" s="4"/>
      <c r="D8835" s="4"/>
      <c r="E8835" s="4"/>
      <c r="F8835" s="4"/>
    </row>
    <row r="8836" spans="1:6" x14ac:dyDescent="0.4">
      <c r="A8836" s="4"/>
      <c r="B8836" s="4"/>
      <c r="D8836" s="4"/>
      <c r="E8836" s="4"/>
      <c r="F8836" s="4"/>
    </row>
    <row r="8837" spans="1:6" x14ac:dyDescent="0.4">
      <c r="A8837" s="4"/>
      <c r="B8837" s="4"/>
      <c r="D8837" s="4"/>
      <c r="E8837" s="4"/>
      <c r="F8837" s="4"/>
    </row>
    <row r="8838" spans="1:6" x14ac:dyDescent="0.4">
      <c r="A8838" s="4"/>
      <c r="B8838" s="4"/>
      <c r="D8838" s="4"/>
      <c r="E8838" s="4"/>
      <c r="F8838" s="4"/>
    </row>
    <row r="8839" spans="1:6" x14ac:dyDescent="0.4">
      <c r="A8839" s="4"/>
      <c r="B8839" s="4"/>
      <c r="D8839" s="4"/>
      <c r="E8839" s="4"/>
      <c r="F8839" s="4"/>
    </row>
    <row r="8840" spans="1:6" x14ac:dyDescent="0.4">
      <c r="A8840" s="4"/>
      <c r="B8840" s="4"/>
      <c r="D8840" s="4"/>
      <c r="E8840" s="4"/>
      <c r="F8840" s="4"/>
    </row>
    <row r="8841" spans="1:6" x14ac:dyDescent="0.4">
      <c r="A8841" s="4"/>
      <c r="B8841" s="4"/>
      <c r="D8841" s="4"/>
      <c r="E8841" s="4"/>
      <c r="F8841" s="4"/>
    </row>
    <row r="8842" spans="1:6" x14ac:dyDescent="0.4">
      <c r="A8842" s="4"/>
      <c r="B8842" s="4"/>
      <c r="D8842" s="4"/>
      <c r="E8842" s="4"/>
      <c r="F8842" s="4"/>
    </row>
    <row r="8843" spans="1:6" x14ac:dyDescent="0.4">
      <c r="A8843" s="4"/>
      <c r="B8843" s="4"/>
      <c r="D8843" s="4"/>
      <c r="E8843" s="4"/>
      <c r="F8843" s="4"/>
    </row>
    <row r="8844" spans="1:6" x14ac:dyDescent="0.4">
      <c r="A8844" s="4"/>
      <c r="B8844" s="4"/>
      <c r="D8844" s="4"/>
      <c r="E8844" s="4"/>
      <c r="F8844" s="4"/>
    </row>
    <row r="8845" spans="1:6" x14ac:dyDescent="0.4">
      <c r="A8845" s="4"/>
      <c r="B8845" s="4"/>
      <c r="D8845" s="4"/>
      <c r="E8845" s="4"/>
      <c r="F8845" s="4"/>
    </row>
    <row r="8846" spans="1:6" x14ac:dyDescent="0.4">
      <c r="A8846" s="4"/>
      <c r="B8846" s="4"/>
      <c r="D8846" s="4"/>
      <c r="E8846" s="4"/>
      <c r="F8846" s="4"/>
    </row>
    <row r="8847" spans="1:6" x14ac:dyDescent="0.4">
      <c r="A8847" s="4"/>
      <c r="B8847" s="4"/>
      <c r="D8847" s="4"/>
      <c r="E8847" s="4"/>
      <c r="F8847" s="4"/>
    </row>
    <row r="8848" spans="1:6" x14ac:dyDescent="0.4">
      <c r="A8848" s="4"/>
      <c r="B8848" s="4"/>
      <c r="D8848" s="4"/>
      <c r="E8848" s="4"/>
      <c r="F8848" s="4"/>
    </row>
    <row r="8849" spans="1:6" x14ac:dyDescent="0.4">
      <c r="A8849" s="4"/>
      <c r="B8849" s="4"/>
      <c r="D8849" s="4"/>
      <c r="E8849" s="4"/>
      <c r="F8849" s="4"/>
    </row>
    <row r="8850" spans="1:6" x14ac:dyDescent="0.4">
      <c r="A8850" s="4"/>
      <c r="B8850" s="4"/>
      <c r="D8850" s="4"/>
      <c r="E8850" s="4"/>
      <c r="F8850" s="4"/>
    </row>
    <row r="8851" spans="1:6" x14ac:dyDescent="0.4">
      <c r="A8851" s="4"/>
      <c r="B8851" s="4"/>
      <c r="D8851" s="4"/>
      <c r="E8851" s="4"/>
      <c r="F8851" s="4"/>
    </row>
    <row r="8852" spans="1:6" x14ac:dyDescent="0.4">
      <c r="A8852" s="4"/>
      <c r="B8852" s="4"/>
      <c r="D8852" s="4"/>
      <c r="E8852" s="4"/>
      <c r="F8852" s="4"/>
    </row>
    <row r="8853" spans="1:6" x14ac:dyDescent="0.4">
      <c r="A8853" s="4"/>
      <c r="B8853" s="4"/>
      <c r="D8853" s="4"/>
      <c r="E8853" s="4"/>
      <c r="F8853" s="4"/>
    </row>
    <row r="8854" spans="1:6" x14ac:dyDescent="0.4">
      <c r="A8854" s="4"/>
      <c r="B8854" s="4"/>
      <c r="D8854" s="4"/>
      <c r="E8854" s="4"/>
      <c r="F8854" s="4"/>
    </row>
    <row r="8855" spans="1:6" x14ac:dyDescent="0.4">
      <c r="A8855" s="4"/>
      <c r="B8855" s="4"/>
      <c r="D8855" s="4"/>
      <c r="E8855" s="4"/>
      <c r="F8855" s="4"/>
    </row>
    <row r="8856" spans="1:6" x14ac:dyDescent="0.4">
      <c r="A8856" s="4"/>
      <c r="B8856" s="4"/>
      <c r="D8856" s="4"/>
      <c r="E8856" s="4"/>
      <c r="F8856" s="4"/>
    </row>
    <row r="8857" spans="1:6" x14ac:dyDescent="0.4">
      <c r="A8857" s="4"/>
      <c r="B8857" s="4"/>
      <c r="D8857" s="4"/>
      <c r="E8857" s="4"/>
      <c r="F8857" s="4"/>
    </row>
    <row r="8858" spans="1:6" x14ac:dyDescent="0.4">
      <c r="A8858" s="4"/>
      <c r="B8858" s="4"/>
      <c r="D8858" s="4"/>
      <c r="E8858" s="4"/>
      <c r="F8858" s="4"/>
    </row>
    <row r="8859" spans="1:6" x14ac:dyDescent="0.4">
      <c r="A8859" s="4"/>
      <c r="B8859" s="4"/>
      <c r="D8859" s="4"/>
      <c r="E8859" s="4"/>
      <c r="F8859" s="4"/>
    </row>
    <row r="8860" spans="1:6" x14ac:dyDescent="0.4">
      <c r="A8860" s="4"/>
      <c r="B8860" s="4"/>
      <c r="D8860" s="4"/>
      <c r="E8860" s="4"/>
      <c r="F8860" s="4"/>
    </row>
    <row r="8861" spans="1:6" x14ac:dyDescent="0.4">
      <c r="A8861" s="4"/>
      <c r="B8861" s="4"/>
      <c r="D8861" s="4"/>
      <c r="E8861" s="4"/>
      <c r="F8861" s="4"/>
    </row>
    <row r="8862" spans="1:6" x14ac:dyDescent="0.4">
      <c r="A8862" s="4"/>
      <c r="B8862" s="4"/>
      <c r="D8862" s="4"/>
      <c r="E8862" s="4"/>
      <c r="F8862" s="4"/>
    </row>
    <row r="8863" spans="1:6" x14ac:dyDescent="0.4">
      <c r="A8863" s="4"/>
      <c r="B8863" s="4"/>
      <c r="D8863" s="4"/>
      <c r="E8863" s="4"/>
      <c r="F8863" s="4"/>
    </row>
    <row r="8864" spans="1:6" x14ac:dyDescent="0.4">
      <c r="A8864" s="4"/>
      <c r="B8864" s="4"/>
      <c r="D8864" s="4"/>
      <c r="E8864" s="4"/>
      <c r="F8864" s="4"/>
    </row>
    <row r="8865" spans="1:6" x14ac:dyDescent="0.4">
      <c r="A8865" s="4"/>
      <c r="B8865" s="4"/>
      <c r="D8865" s="4"/>
      <c r="E8865" s="4"/>
      <c r="F8865" s="4"/>
    </row>
    <row r="8866" spans="1:6" x14ac:dyDescent="0.4">
      <c r="A8866" s="4"/>
      <c r="B8866" s="4"/>
      <c r="D8866" s="4"/>
      <c r="E8866" s="4"/>
      <c r="F8866" s="4"/>
    </row>
    <row r="8867" spans="1:6" x14ac:dyDescent="0.4">
      <c r="A8867" s="4"/>
      <c r="B8867" s="4"/>
      <c r="D8867" s="4"/>
      <c r="E8867" s="4"/>
      <c r="F8867" s="4"/>
    </row>
    <row r="8868" spans="1:6" x14ac:dyDescent="0.4">
      <c r="A8868" s="4"/>
      <c r="B8868" s="4"/>
      <c r="D8868" s="4"/>
      <c r="E8868" s="4"/>
      <c r="F8868" s="4"/>
    </row>
    <row r="8869" spans="1:6" x14ac:dyDescent="0.4">
      <c r="A8869" s="4"/>
      <c r="B8869" s="4"/>
      <c r="D8869" s="4"/>
      <c r="E8869" s="4"/>
      <c r="F8869" s="4"/>
    </row>
    <row r="8870" spans="1:6" x14ac:dyDescent="0.4">
      <c r="A8870" s="4"/>
      <c r="B8870" s="4"/>
      <c r="D8870" s="4"/>
      <c r="E8870" s="4"/>
      <c r="F8870" s="4"/>
    </row>
    <row r="8871" spans="1:6" x14ac:dyDescent="0.4">
      <c r="A8871" s="4"/>
      <c r="B8871" s="4"/>
      <c r="D8871" s="4"/>
      <c r="E8871" s="4"/>
      <c r="F8871" s="4"/>
    </row>
    <row r="8872" spans="1:6" x14ac:dyDescent="0.4">
      <c r="A8872" s="4"/>
      <c r="B8872" s="4"/>
      <c r="D8872" s="4"/>
      <c r="E8872" s="4"/>
      <c r="F8872" s="4"/>
    </row>
    <row r="8873" spans="1:6" x14ac:dyDescent="0.4">
      <c r="A8873" s="4"/>
      <c r="B8873" s="4"/>
      <c r="D8873" s="4"/>
      <c r="E8873" s="4"/>
      <c r="F8873" s="4"/>
    </row>
    <row r="8874" spans="1:6" x14ac:dyDescent="0.4">
      <c r="A8874" s="4"/>
      <c r="B8874" s="4"/>
      <c r="D8874" s="4"/>
      <c r="E8874" s="4"/>
      <c r="F8874" s="4"/>
    </row>
    <row r="8875" spans="1:6" x14ac:dyDescent="0.4">
      <c r="A8875" s="4"/>
      <c r="B8875" s="4"/>
      <c r="D8875" s="4"/>
      <c r="E8875" s="4"/>
      <c r="F8875" s="4"/>
    </row>
    <row r="8876" spans="1:6" x14ac:dyDescent="0.4">
      <c r="A8876" s="4"/>
      <c r="B8876" s="4"/>
      <c r="D8876" s="4"/>
      <c r="E8876" s="4"/>
      <c r="F8876" s="4"/>
    </row>
    <row r="8877" spans="1:6" x14ac:dyDescent="0.4">
      <c r="A8877" s="4"/>
      <c r="B8877" s="4"/>
      <c r="D8877" s="4"/>
      <c r="E8877" s="4"/>
      <c r="F8877" s="4"/>
    </row>
    <row r="8878" spans="1:6" x14ac:dyDescent="0.4">
      <c r="A8878" s="4"/>
      <c r="B8878" s="4"/>
      <c r="D8878" s="4"/>
      <c r="E8878" s="4"/>
      <c r="F8878" s="4"/>
    </row>
    <row r="8879" spans="1:6" x14ac:dyDescent="0.4">
      <c r="A8879" s="4"/>
      <c r="B8879" s="4"/>
      <c r="D8879" s="4"/>
      <c r="E8879" s="4"/>
      <c r="F8879" s="4"/>
    </row>
    <row r="8880" spans="1:6" x14ac:dyDescent="0.4">
      <c r="A8880" s="4"/>
      <c r="B8880" s="4"/>
      <c r="D8880" s="4"/>
      <c r="E8880" s="4"/>
      <c r="F8880" s="4"/>
    </row>
    <row r="8881" spans="1:6" x14ac:dyDescent="0.4">
      <c r="A8881" s="4"/>
      <c r="B8881" s="4"/>
      <c r="D8881" s="4"/>
      <c r="E8881" s="4"/>
      <c r="F8881" s="4"/>
    </row>
    <row r="8882" spans="1:6" x14ac:dyDescent="0.4">
      <c r="A8882" s="4"/>
      <c r="B8882" s="4"/>
      <c r="D8882" s="4"/>
      <c r="E8882" s="4"/>
      <c r="F8882" s="4"/>
    </row>
    <row r="8883" spans="1:6" x14ac:dyDescent="0.4">
      <c r="A8883" s="4"/>
      <c r="B8883" s="4"/>
      <c r="D8883" s="4"/>
      <c r="E8883" s="4"/>
      <c r="F8883" s="4"/>
    </row>
    <row r="8884" spans="1:6" x14ac:dyDescent="0.4">
      <c r="A8884" s="4"/>
      <c r="B8884" s="4"/>
      <c r="D8884" s="4"/>
      <c r="E8884" s="4"/>
      <c r="F8884" s="4"/>
    </row>
    <row r="8885" spans="1:6" x14ac:dyDescent="0.4">
      <c r="A8885" s="4"/>
      <c r="B8885" s="4"/>
      <c r="D8885" s="4"/>
      <c r="E8885" s="4"/>
      <c r="F8885" s="4"/>
    </row>
    <row r="8886" spans="1:6" x14ac:dyDescent="0.4">
      <c r="A8886" s="4"/>
      <c r="B8886" s="4"/>
      <c r="D8886" s="4"/>
      <c r="E8886" s="4"/>
      <c r="F8886" s="4"/>
    </row>
    <row r="8887" spans="1:6" x14ac:dyDescent="0.4">
      <c r="A8887" s="4"/>
      <c r="B8887" s="4"/>
      <c r="D8887" s="4"/>
      <c r="E8887" s="4"/>
      <c r="F8887" s="4"/>
    </row>
    <row r="8888" spans="1:6" x14ac:dyDescent="0.4">
      <c r="A8888" s="4"/>
      <c r="B8888" s="4"/>
      <c r="D8888" s="4"/>
      <c r="E8888" s="4"/>
      <c r="F8888" s="4"/>
    </row>
    <row r="8889" spans="1:6" x14ac:dyDescent="0.4">
      <c r="A8889" s="4"/>
      <c r="B8889" s="4"/>
      <c r="D8889" s="4"/>
      <c r="E8889" s="4"/>
      <c r="F8889" s="4"/>
    </row>
    <row r="8890" spans="1:6" x14ac:dyDescent="0.4">
      <c r="A8890" s="4"/>
      <c r="B8890" s="4"/>
      <c r="D8890" s="4"/>
      <c r="E8890" s="4"/>
      <c r="F8890" s="4"/>
    </row>
    <row r="8891" spans="1:6" x14ac:dyDescent="0.4">
      <c r="A8891" s="4"/>
      <c r="B8891" s="4"/>
      <c r="D8891" s="4"/>
      <c r="E8891" s="4"/>
      <c r="F8891" s="4"/>
    </row>
    <row r="8892" spans="1:6" x14ac:dyDescent="0.4">
      <c r="A8892" s="4"/>
      <c r="B8892" s="4"/>
      <c r="D8892" s="4"/>
      <c r="E8892" s="4"/>
      <c r="F8892" s="4"/>
    </row>
    <row r="8893" spans="1:6" x14ac:dyDescent="0.4">
      <c r="A8893" s="4"/>
      <c r="B8893" s="4"/>
      <c r="D8893" s="4"/>
      <c r="E8893" s="4"/>
      <c r="F8893" s="4"/>
    </row>
    <row r="8894" spans="1:6" x14ac:dyDescent="0.4">
      <c r="A8894" s="4"/>
      <c r="B8894" s="4"/>
      <c r="D8894" s="4"/>
      <c r="E8894" s="4"/>
      <c r="F8894" s="4"/>
    </row>
    <row r="8895" spans="1:6" x14ac:dyDescent="0.4">
      <c r="A8895" s="4"/>
      <c r="B8895" s="4"/>
      <c r="D8895" s="4"/>
      <c r="E8895" s="4"/>
      <c r="F8895" s="4"/>
    </row>
    <row r="8896" spans="1:6" x14ac:dyDescent="0.4">
      <c r="A8896" s="4"/>
      <c r="B8896" s="4"/>
      <c r="D8896" s="4"/>
      <c r="E8896" s="4"/>
      <c r="F8896" s="4"/>
    </row>
    <row r="8897" spans="1:6" x14ac:dyDescent="0.4">
      <c r="A8897" s="4"/>
      <c r="B8897" s="4"/>
      <c r="D8897" s="4"/>
      <c r="E8897" s="4"/>
      <c r="F8897" s="4"/>
    </row>
    <row r="8898" spans="1:6" x14ac:dyDescent="0.4">
      <c r="A8898" s="4"/>
      <c r="B8898" s="4"/>
      <c r="D8898" s="4"/>
      <c r="E8898" s="4"/>
      <c r="F8898" s="4"/>
    </row>
    <row r="8899" spans="1:6" x14ac:dyDescent="0.4">
      <c r="A8899" s="4"/>
      <c r="B8899" s="4"/>
      <c r="D8899" s="4"/>
      <c r="E8899" s="4"/>
      <c r="F8899" s="4"/>
    </row>
    <row r="8900" spans="1:6" x14ac:dyDescent="0.4">
      <c r="A8900" s="4"/>
      <c r="B8900" s="4"/>
      <c r="D8900" s="4"/>
      <c r="E8900" s="4"/>
      <c r="F8900" s="4"/>
    </row>
    <row r="8901" spans="1:6" x14ac:dyDescent="0.4">
      <c r="A8901" s="4"/>
      <c r="B8901" s="4"/>
      <c r="D8901" s="4"/>
      <c r="E8901" s="4"/>
      <c r="F8901" s="4"/>
    </row>
    <row r="8902" spans="1:6" x14ac:dyDescent="0.4">
      <c r="A8902" s="4"/>
      <c r="B8902" s="4"/>
      <c r="D8902" s="4"/>
      <c r="E8902" s="4"/>
      <c r="F8902" s="4"/>
    </row>
    <row r="8903" spans="1:6" x14ac:dyDescent="0.4">
      <c r="A8903" s="4"/>
      <c r="B8903" s="4"/>
      <c r="D8903" s="4"/>
      <c r="E8903" s="4"/>
      <c r="F8903" s="4"/>
    </row>
    <row r="8904" spans="1:6" x14ac:dyDescent="0.4">
      <c r="A8904" s="4"/>
      <c r="B8904" s="4"/>
      <c r="D8904" s="4"/>
      <c r="E8904" s="4"/>
      <c r="F8904" s="4"/>
    </row>
    <row r="8905" spans="1:6" x14ac:dyDescent="0.4">
      <c r="A8905" s="4"/>
      <c r="B8905" s="4"/>
      <c r="D8905" s="4"/>
      <c r="E8905" s="4"/>
      <c r="F8905" s="4"/>
    </row>
    <row r="8906" spans="1:6" x14ac:dyDescent="0.4">
      <c r="A8906" s="4"/>
      <c r="B8906" s="4"/>
      <c r="D8906" s="4"/>
      <c r="E8906" s="4"/>
      <c r="F8906" s="4"/>
    </row>
    <row r="8907" spans="1:6" x14ac:dyDescent="0.4">
      <c r="A8907" s="4"/>
      <c r="B8907" s="4"/>
      <c r="D8907" s="4"/>
      <c r="E8907" s="4"/>
      <c r="F8907" s="4"/>
    </row>
    <row r="8908" spans="1:6" x14ac:dyDescent="0.4">
      <c r="A8908" s="4"/>
      <c r="B8908" s="4"/>
      <c r="D8908" s="4"/>
      <c r="E8908" s="4"/>
      <c r="F8908" s="4"/>
    </row>
    <row r="8909" spans="1:6" x14ac:dyDescent="0.4">
      <c r="A8909" s="4"/>
      <c r="B8909" s="4"/>
      <c r="D8909" s="4"/>
      <c r="E8909" s="4"/>
      <c r="F8909" s="4"/>
    </row>
    <row r="8910" spans="1:6" x14ac:dyDescent="0.4">
      <c r="A8910" s="4"/>
      <c r="B8910" s="4"/>
      <c r="D8910" s="4"/>
      <c r="E8910" s="4"/>
      <c r="F8910" s="4"/>
    </row>
    <row r="8911" spans="1:6" x14ac:dyDescent="0.4">
      <c r="A8911" s="4"/>
      <c r="B8911" s="4"/>
      <c r="D8911" s="4"/>
      <c r="E8911" s="4"/>
      <c r="F8911" s="4"/>
    </row>
    <row r="8912" spans="1:6" x14ac:dyDescent="0.4">
      <c r="A8912" s="4"/>
      <c r="B8912" s="4"/>
      <c r="D8912" s="4"/>
      <c r="E8912" s="4"/>
      <c r="F8912" s="4"/>
    </row>
    <row r="8913" spans="1:6" x14ac:dyDescent="0.4">
      <c r="A8913" s="4"/>
      <c r="B8913" s="4"/>
      <c r="D8913" s="4"/>
      <c r="E8913" s="4"/>
      <c r="F8913" s="4"/>
    </row>
    <row r="8914" spans="1:6" x14ac:dyDescent="0.4">
      <c r="A8914" s="4"/>
      <c r="B8914" s="4"/>
      <c r="D8914" s="4"/>
      <c r="E8914" s="4"/>
      <c r="F8914" s="4"/>
    </row>
    <row r="8915" spans="1:6" x14ac:dyDescent="0.4">
      <c r="A8915" s="4"/>
      <c r="B8915" s="4"/>
      <c r="D8915" s="4"/>
      <c r="E8915" s="4"/>
      <c r="F8915" s="4"/>
    </row>
    <row r="8916" spans="1:6" x14ac:dyDescent="0.4">
      <c r="A8916" s="4"/>
      <c r="B8916" s="4"/>
      <c r="D8916" s="4"/>
      <c r="E8916" s="4"/>
      <c r="F8916" s="4"/>
    </row>
    <row r="8917" spans="1:6" x14ac:dyDescent="0.4">
      <c r="A8917" s="4"/>
      <c r="B8917" s="4"/>
      <c r="D8917" s="4"/>
      <c r="E8917" s="4"/>
      <c r="F8917" s="4"/>
    </row>
    <row r="8918" spans="1:6" x14ac:dyDescent="0.4">
      <c r="A8918" s="4"/>
      <c r="B8918" s="4"/>
      <c r="D8918" s="4"/>
      <c r="E8918" s="4"/>
      <c r="F8918" s="4"/>
    </row>
    <row r="8919" spans="1:6" x14ac:dyDescent="0.4">
      <c r="A8919" s="4"/>
      <c r="B8919" s="4"/>
      <c r="D8919" s="4"/>
      <c r="E8919" s="4"/>
      <c r="F8919" s="4"/>
    </row>
    <row r="8920" spans="1:6" x14ac:dyDescent="0.4">
      <c r="A8920" s="4"/>
      <c r="B8920" s="4"/>
      <c r="D8920" s="4"/>
      <c r="E8920" s="4"/>
      <c r="F8920" s="4"/>
    </row>
    <row r="8921" spans="1:6" x14ac:dyDescent="0.4">
      <c r="A8921" s="4"/>
      <c r="B8921" s="4"/>
      <c r="D8921" s="4"/>
      <c r="E8921" s="4"/>
      <c r="F8921" s="4"/>
    </row>
    <row r="8922" spans="1:6" x14ac:dyDescent="0.4">
      <c r="A8922" s="4"/>
      <c r="B8922" s="4"/>
      <c r="D8922" s="4"/>
      <c r="E8922" s="4"/>
      <c r="F8922" s="4"/>
    </row>
    <row r="8923" spans="1:6" x14ac:dyDescent="0.4">
      <c r="A8923" s="4"/>
      <c r="B8923" s="4"/>
      <c r="D8923" s="4"/>
      <c r="E8923" s="4"/>
      <c r="F8923" s="4"/>
    </row>
    <row r="8924" spans="1:6" x14ac:dyDescent="0.4">
      <c r="A8924" s="4"/>
      <c r="B8924" s="4"/>
      <c r="D8924" s="4"/>
      <c r="E8924" s="4"/>
      <c r="F8924" s="4"/>
    </row>
    <row r="8925" spans="1:6" x14ac:dyDescent="0.4">
      <c r="A8925" s="4"/>
      <c r="B8925" s="4"/>
      <c r="D8925" s="4"/>
      <c r="E8925" s="4"/>
      <c r="F8925" s="4"/>
    </row>
    <row r="8926" spans="1:6" x14ac:dyDescent="0.4">
      <c r="A8926" s="4"/>
      <c r="B8926" s="4"/>
      <c r="D8926" s="4"/>
      <c r="E8926" s="4"/>
      <c r="F8926" s="4"/>
    </row>
    <row r="8927" spans="1:6" x14ac:dyDescent="0.4">
      <c r="A8927" s="4"/>
      <c r="B8927" s="4"/>
      <c r="D8927" s="4"/>
      <c r="E8927" s="4"/>
      <c r="F8927" s="4"/>
    </row>
    <row r="8928" spans="1:6" x14ac:dyDescent="0.4">
      <c r="A8928" s="4"/>
      <c r="B8928" s="4"/>
      <c r="D8928" s="4"/>
      <c r="E8928" s="4"/>
      <c r="F8928" s="4"/>
    </row>
    <row r="8929" spans="1:6" x14ac:dyDescent="0.4">
      <c r="A8929" s="4"/>
      <c r="B8929" s="4"/>
      <c r="D8929" s="4"/>
      <c r="E8929" s="4"/>
      <c r="F8929" s="4"/>
    </row>
    <row r="8930" spans="1:6" x14ac:dyDescent="0.4">
      <c r="A8930" s="4"/>
      <c r="B8930" s="4"/>
      <c r="D8930" s="4"/>
      <c r="E8930" s="4"/>
      <c r="F8930" s="4"/>
    </row>
    <row r="8931" spans="1:6" x14ac:dyDescent="0.4">
      <c r="A8931" s="4"/>
      <c r="B8931" s="4"/>
      <c r="D8931" s="4"/>
      <c r="E8931" s="4"/>
      <c r="F8931" s="4"/>
    </row>
    <row r="8932" spans="1:6" x14ac:dyDescent="0.4">
      <c r="A8932" s="4"/>
      <c r="B8932" s="4"/>
      <c r="D8932" s="4"/>
      <c r="E8932" s="4"/>
      <c r="F8932" s="4"/>
    </row>
    <row r="8933" spans="1:6" x14ac:dyDescent="0.4">
      <c r="A8933" s="4"/>
      <c r="B8933" s="4"/>
      <c r="D8933" s="4"/>
      <c r="E8933" s="4"/>
      <c r="F8933" s="4"/>
    </row>
    <row r="8934" spans="1:6" x14ac:dyDescent="0.4">
      <c r="A8934" s="4"/>
      <c r="B8934" s="4"/>
      <c r="D8934" s="4"/>
      <c r="E8934" s="4"/>
      <c r="F8934" s="4"/>
    </row>
    <row r="8935" spans="1:6" x14ac:dyDescent="0.4">
      <c r="A8935" s="4"/>
      <c r="B8935" s="4"/>
      <c r="D8935" s="4"/>
      <c r="E8935" s="4"/>
      <c r="F8935" s="4"/>
    </row>
    <row r="8936" spans="1:6" x14ac:dyDescent="0.4">
      <c r="A8936" s="4"/>
      <c r="B8936" s="4"/>
      <c r="D8936" s="4"/>
      <c r="E8936" s="4"/>
      <c r="F8936" s="4"/>
    </row>
    <row r="8937" spans="1:6" x14ac:dyDescent="0.4">
      <c r="A8937" s="4"/>
      <c r="B8937" s="4"/>
      <c r="D8937" s="4"/>
      <c r="E8937" s="4"/>
      <c r="F8937" s="4"/>
    </row>
    <row r="8938" spans="1:6" x14ac:dyDescent="0.4">
      <c r="A8938" s="4"/>
      <c r="B8938" s="4"/>
      <c r="D8938" s="4"/>
      <c r="E8938" s="4"/>
      <c r="F8938" s="4"/>
    </row>
    <row r="8939" spans="1:6" x14ac:dyDescent="0.4">
      <c r="A8939" s="4"/>
      <c r="B8939" s="4"/>
      <c r="D8939" s="4"/>
      <c r="E8939" s="4"/>
      <c r="F8939" s="4"/>
    </row>
    <row r="8940" spans="1:6" x14ac:dyDescent="0.4">
      <c r="A8940" s="4"/>
      <c r="B8940" s="4"/>
      <c r="D8940" s="4"/>
      <c r="E8940" s="4"/>
      <c r="F8940" s="4"/>
    </row>
    <row r="8941" spans="1:6" x14ac:dyDescent="0.4">
      <c r="A8941" s="4"/>
      <c r="B8941" s="4"/>
      <c r="D8941" s="4"/>
      <c r="E8941" s="4"/>
      <c r="F8941" s="4"/>
    </row>
    <row r="8942" spans="1:6" x14ac:dyDescent="0.4">
      <c r="A8942" s="4"/>
      <c r="B8942" s="4"/>
      <c r="D8942" s="4"/>
      <c r="E8942" s="4"/>
      <c r="F8942" s="4"/>
    </row>
    <row r="8943" spans="1:6" x14ac:dyDescent="0.4">
      <c r="A8943" s="4"/>
      <c r="B8943" s="4"/>
      <c r="D8943" s="4"/>
      <c r="E8943" s="4"/>
      <c r="F8943" s="4"/>
    </row>
    <row r="8944" spans="1:6" x14ac:dyDescent="0.4">
      <c r="A8944" s="4"/>
      <c r="B8944" s="4"/>
      <c r="D8944" s="4"/>
      <c r="E8944" s="4"/>
      <c r="F8944" s="4"/>
    </row>
    <row r="8945" spans="1:6" x14ac:dyDescent="0.4">
      <c r="A8945" s="4"/>
      <c r="B8945" s="4"/>
      <c r="D8945" s="4"/>
      <c r="E8945" s="4"/>
      <c r="F8945" s="4"/>
    </row>
    <row r="8946" spans="1:6" x14ac:dyDescent="0.4">
      <c r="A8946" s="4"/>
      <c r="B8946" s="4"/>
      <c r="D8946" s="4"/>
      <c r="E8946" s="4"/>
      <c r="F8946" s="4"/>
    </row>
    <row r="8947" spans="1:6" x14ac:dyDescent="0.4">
      <c r="A8947" s="4"/>
      <c r="B8947" s="4"/>
      <c r="D8947" s="4"/>
      <c r="E8947" s="4"/>
      <c r="F8947" s="4"/>
    </row>
    <row r="8948" spans="1:6" x14ac:dyDescent="0.4">
      <c r="A8948" s="4"/>
      <c r="B8948" s="4"/>
      <c r="D8948" s="4"/>
      <c r="E8948" s="4"/>
      <c r="F8948" s="4"/>
    </row>
    <row r="8949" spans="1:6" x14ac:dyDescent="0.4">
      <c r="A8949" s="4"/>
      <c r="B8949" s="4"/>
      <c r="D8949" s="4"/>
      <c r="E8949" s="4"/>
      <c r="F8949" s="4"/>
    </row>
    <row r="8950" spans="1:6" x14ac:dyDescent="0.4">
      <c r="A8950" s="4"/>
      <c r="B8950" s="4"/>
      <c r="D8950" s="4"/>
      <c r="E8950" s="4"/>
      <c r="F8950" s="4"/>
    </row>
    <row r="8951" spans="1:6" x14ac:dyDescent="0.4">
      <c r="A8951" s="4"/>
      <c r="B8951" s="4"/>
      <c r="D8951" s="4"/>
      <c r="E8951" s="4"/>
      <c r="F8951" s="4"/>
    </row>
    <row r="8952" spans="1:6" x14ac:dyDescent="0.4">
      <c r="A8952" s="4"/>
      <c r="B8952" s="4"/>
      <c r="D8952" s="4"/>
      <c r="E8952" s="4"/>
      <c r="F8952" s="4"/>
    </row>
    <row r="8953" spans="1:6" x14ac:dyDescent="0.4">
      <c r="A8953" s="4"/>
      <c r="B8953" s="4"/>
      <c r="D8953" s="4"/>
      <c r="E8953" s="4"/>
      <c r="F8953" s="4"/>
    </row>
    <row r="8954" spans="1:6" x14ac:dyDescent="0.4">
      <c r="A8954" s="4"/>
      <c r="B8954" s="4"/>
      <c r="D8954" s="4"/>
      <c r="E8954" s="4"/>
      <c r="F8954" s="4"/>
    </row>
    <row r="8955" spans="1:6" x14ac:dyDescent="0.4">
      <c r="A8955" s="4"/>
      <c r="B8955" s="4"/>
      <c r="D8955" s="4"/>
      <c r="E8955" s="4"/>
      <c r="F8955" s="4"/>
    </row>
    <row r="8956" spans="1:6" x14ac:dyDescent="0.4">
      <c r="A8956" s="4"/>
      <c r="B8956" s="4"/>
      <c r="D8956" s="4"/>
      <c r="E8956" s="4"/>
      <c r="F8956" s="4"/>
    </row>
    <row r="8957" spans="1:6" x14ac:dyDescent="0.4">
      <c r="A8957" s="4"/>
      <c r="B8957" s="4"/>
      <c r="D8957" s="4"/>
      <c r="E8957" s="4"/>
      <c r="F8957" s="4"/>
    </row>
    <row r="8958" spans="1:6" x14ac:dyDescent="0.4">
      <c r="A8958" s="4"/>
      <c r="B8958" s="4"/>
      <c r="D8958" s="4"/>
      <c r="E8958" s="4"/>
      <c r="F8958" s="4"/>
    </row>
    <row r="8959" spans="1:6" x14ac:dyDescent="0.4">
      <c r="A8959" s="4"/>
      <c r="B8959" s="4"/>
      <c r="D8959" s="4"/>
      <c r="E8959" s="4"/>
      <c r="F8959" s="4"/>
    </row>
    <row r="8960" spans="1:6" x14ac:dyDescent="0.4">
      <c r="A8960" s="4"/>
      <c r="B8960" s="4"/>
      <c r="D8960" s="4"/>
      <c r="E8960" s="4"/>
      <c r="F8960" s="4"/>
    </row>
    <row r="8961" spans="1:6" x14ac:dyDescent="0.4">
      <c r="A8961" s="4"/>
      <c r="B8961" s="4"/>
      <c r="D8961" s="4"/>
      <c r="E8961" s="4"/>
      <c r="F8961" s="4"/>
    </row>
    <row r="8962" spans="1:6" x14ac:dyDescent="0.4">
      <c r="A8962" s="4"/>
      <c r="B8962" s="4"/>
      <c r="D8962" s="4"/>
      <c r="E8962" s="4"/>
      <c r="F8962" s="4"/>
    </row>
    <row r="8963" spans="1:6" x14ac:dyDescent="0.4">
      <c r="A8963" s="4"/>
      <c r="B8963" s="4"/>
      <c r="D8963" s="4"/>
      <c r="E8963" s="4"/>
      <c r="F8963" s="4"/>
    </row>
    <row r="8964" spans="1:6" x14ac:dyDescent="0.4">
      <c r="A8964" s="4"/>
      <c r="B8964" s="4"/>
      <c r="D8964" s="4"/>
      <c r="E8964" s="4"/>
      <c r="F8964" s="4"/>
    </row>
    <row r="8965" spans="1:6" x14ac:dyDescent="0.4">
      <c r="A8965" s="4"/>
      <c r="B8965" s="4"/>
      <c r="D8965" s="4"/>
      <c r="E8965" s="4"/>
      <c r="F8965" s="4"/>
    </row>
    <row r="8966" spans="1:6" x14ac:dyDescent="0.4">
      <c r="A8966" s="4"/>
      <c r="B8966" s="4"/>
      <c r="D8966" s="4"/>
      <c r="E8966" s="4"/>
      <c r="F8966" s="4"/>
    </row>
    <row r="8967" spans="1:6" x14ac:dyDescent="0.4">
      <c r="A8967" s="4"/>
      <c r="B8967" s="4"/>
      <c r="D8967" s="4"/>
      <c r="E8967" s="4"/>
      <c r="F8967" s="4"/>
    </row>
    <row r="8968" spans="1:6" x14ac:dyDescent="0.4">
      <c r="A8968" s="4"/>
      <c r="B8968" s="4"/>
      <c r="D8968" s="4"/>
      <c r="E8968" s="4"/>
      <c r="F8968" s="4"/>
    </row>
    <row r="8969" spans="1:6" x14ac:dyDescent="0.4">
      <c r="A8969" s="4"/>
      <c r="B8969" s="4"/>
      <c r="D8969" s="4"/>
      <c r="E8969" s="4"/>
      <c r="F8969" s="4"/>
    </row>
    <row r="8970" spans="1:6" x14ac:dyDescent="0.4">
      <c r="A8970" s="4"/>
      <c r="B8970" s="4"/>
      <c r="D8970" s="4"/>
      <c r="E8970" s="4"/>
      <c r="F8970" s="4"/>
    </row>
    <row r="8971" spans="1:6" x14ac:dyDescent="0.4">
      <c r="A8971" s="4"/>
      <c r="B8971" s="4"/>
      <c r="D8971" s="4"/>
      <c r="E8971" s="4"/>
      <c r="F8971" s="4"/>
    </row>
    <row r="8972" spans="1:6" x14ac:dyDescent="0.4">
      <c r="A8972" s="4"/>
      <c r="B8972" s="4"/>
      <c r="D8972" s="4"/>
      <c r="E8972" s="4"/>
      <c r="F8972" s="4"/>
    </row>
    <row r="8973" spans="1:6" x14ac:dyDescent="0.4">
      <c r="A8973" s="4"/>
      <c r="B8973" s="4"/>
      <c r="D8973" s="4"/>
      <c r="E8973" s="4"/>
      <c r="F8973" s="4"/>
    </row>
    <row r="8974" spans="1:6" x14ac:dyDescent="0.4">
      <c r="A8974" s="4"/>
      <c r="B8974" s="4"/>
      <c r="D8974" s="4"/>
      <c r="E8974" s="4"/>
      <c r="F8974" s="4"/>
    </row>
    <row r="8975" spans="1:6" x14ac:dyDescent="0.4">
      <c r="A8975" s="4"/>
      <c r="B8975" s="4"/>
      <c r="D8975" s="4"/>
      <c r="E8975" s="4"/>
      <c r="F8975" s="4"/>
    </row>
    <row r="8976" spans="1:6" x14ac:dyDescent="0.4">
      <c r="A8976" s="4"/>
      <c r="B8976" s="4"/>
      <c r="D8976" s="4"/>
      <c r="E8976" s="4"/>
      <c r="F8976" s="4"/>
    </row>
    <row r="8977" spans="1:6" x14ac:dyDescent="0.4">
      <c r="A8977" s="4"/>
      <c r="B8977" s="4"/>
      <c r="D8977" s="4"/>
      <c r="E8977" s="4"/>
      <c r="F8977" s="4"/>
    </row>
    <row r="8978" spans="1:6" x14ac:dyDescent="0.4">
      <c r="A8978" s="4"/>
      <c r="B8978" s="4"/>
      <c r="D8978" s="4"/>
      <c r="E8978" s="4"/>
      <c r="F8978" s="4"/>
    </row>
    <row r="8979" spans="1:6" x14ac:dyDescent="0.4">
      <c r="A8979" s="4"/>
      <c r="B8979" s="4"/>
      <c r="D8979" s="4"/>
      <c r="E8979" s="4"/>
      <c r="F8979" s="4"/>
    </row>
    <row r="8980" spans="1:6" x14ac:dyDescent="0.4">
      <c r="A8980" s="4"/>
      <c r="B8980" s="4"/>
      <c r="D8980" s="4"/>
      <c r="E8980" s="4"/>
      <c r="F8980" s="4"/>
    </row>
    <row r="8981" spans="1:6" x14ac:dyDescent="0.4">
      <c r="A8981" s="4"/>
      <c r="B8981" s="4"/>
      <c r="D8981" s="4"/>
      <c r="E8981" s="4"/>
      <c r="F8981" s="4"/>
    </row>
    <row r="8982" spans="1:6" x14ac:dyDescent="0.4">
      <c r="A8982" s="4"/>
      <c r="B8982" s="4"/>
      <c r="D8982" s="4"/>
      <c r="E8982" s="4"/>
      <c r="F8982" s="4"/>
    </row>
    <row r="8983" spans="1:6" x14ac:dyDescent="0.4">
      <c r="A8983" s="4"/>
      <c r="B8983" s="4"/>
      <c r="D8983" s="4"/>
      <c r="E8983" s="4"/>
      <c r="F8983" s="4"/>
    </row>
    <row r="8984" spans="1:6" x14ac:dyDescent="0.4">
      <c r="A8984" s="4"/>
      <c r="B8984" s="4"/>
      <c r="D8984" s="4"/>
      <c r="E8984" s="4"/>
      <c r="F8984" s="4"/>
    </row>
    <row r="8985" spans="1:6" x14ac:dyDescent="0.4">
      <c r="A8985" s="4"/>
      <c r="B8985" s="4"/>
      <c r="D8985" s="4"/>
      <c r="E8985" s="4"/>
      <c r="F8985" s="4"/>
    </row>
    <row r="8986" spans="1:6" x14ac:dyDescent="0.4">
      <c r="A8986" s="4"/>
      <c r="B8986" s="4"/>
      <c r="D8986" s="4"/>
      <c r="E8986" s="4"/>
      <c r="F8986" s="4"/>
    </row>
    <row r="8987" spans="1:6" x14ac:dyDescent="0.4">
      <c r="A8987" s="4"/>
      <c r="B8987" s="4"/>
      <c r="D8987" s="4"/>
      <c r="E8987" s="4"/>
      <c r="F8987" s="4"/>
    </row>
    <row r="8988" spans="1:6" x14ac:dyDescent="0.4">
      <c r="A8988" s="4"/>
      <c r="B8988" s="4"/>
      <c r="D8988" s="4"/>
      <c r="E8988" s="4"/>
      <c r="F8988" s="4"/>
    </row>
    <row r="8989" spans="1:6" x14ac:dyDescent="0.4">
      <c r="A8989" s="4"/>
      <c r="B8989" s="4"/>
      <c r="D8989" s="4"/>
      <c r="E8989" s="4"/>
      <c r="F8989" s="4"/>
    </row>
    <row r="8990" spans="1:6" x14ac:dyDescent="0.4">
      <c r="A8990" s="4"/>
      <c r="B8990" s="4"/>
      <c r="D8990" s="4"/>
      <c r="E8990" s="4"/>
      <c r="F8990" s="4"/>
    </row>
    <row r="8991" spans="1:6" x14ac:dyDescent="0.4">
      <c r="A8991" s="4"/>
      <c r="B8991" s="4"/>
      <c r="D8991" s="4"/>
      <c r="E8991" s="4"/>
      <c r="F8991" s="4"/>
    </row>
    <row r="8992" spans="1:6" x14ac:dyDescent="0.4">
      <c r="A8992" s="4"/>
      <c r="B8992" s="4"/>
      <c r="D8992" s="4"/>
      <c r="E8992" s="4"/>
      <c r="F8992" s="4"/>
    </row>
    <row r="8993" spans="1:6" x14ac:dyDescent="0.4">
      <c r="A8993" s="4"/>
      <c r="B8993" s="4"/>
      <c r="D8993" s="4"/>
      <c r="E8993" s="4"/>
      <c r="F8993" s="4"/>
    </row>
    <row r="8994" spans="1:6" x14ac:dyDescent="0.4">
      <c r="A8994" s="4"/>
      <c r="B8994" s="4"/>
      <c r="D8994" s="4"/>
      <c r="E8994" s="4"/>
      <c r="F8994" s="4"/>
    </row>
    <row r="8995" spans="1:6" x14ac:dyDescent="0.4">
      <c r="A8995" s="4"/>
      <c r="B8995" s="4"/>
      <c r="D8995" s="4"/>
      <c r="E8995" s="4"/>
      <c r="F8995" s="4"/>
    </row>
    <row r="8996" spans="1:6" x14ac:dyDescent="0.4">
      <c r="A8996" s="4"/>
      <c r="B8996" s="4"/>
      <c r="D8996" s="4"/>
      <c r="E8996" s="4"/>
      <c r="F8996" s="4"/>
    </row>
    <row r="8997" spans="1:6" x14ac:dyDescent="0.4">
      <c r="A8997" s="4"/>
      <c r="B8997" s="4"/>
      <c r="D8997" s="4"/>
      <c r="E8997" s="4"/>
      <c r="F8997" s="4"/>
    </row>
    <row r="8998" spans="1:6" x14ac:dyDescent="0.4">
      <c r="A8998" s="4"/>
      <c r="B8998" s="4"/>
      <c r="D8998" s="4"/>
      <c r="E8998" s="4"/>
      <c r="F8998" s="4"/>
    </row>
    <row r="8999" spans="1:6" x14ac:dyDescent="0.4">
      <c r="A8999" s="4"/>
      <c r="B8999" s="4"/>
      <c r="D8999" s="4"/>
      <c r="E8999" s="4"/>
      <c r="F8999" s="4"/>
    </row>
    <row r="9000" spans="1:6" x14ac:dyDescent="0.4">
      <c r="A9000" s="4"/>
      <c r="B9000" s="4"/>
      <c r="D9000" s="4"/>
      <c r="E9000" s="4"/>
      <c r="F9000" s="4"/>
    </row>
    <row r="9001" spans="1:6" x14ac:dyDescent="0.4">
      <c r="A9001" s="4"/>
      <c r="B9001" s="4"/>
      <c r="D9001" s="4"/>
      <c r="E9001" s="4"/>
      <c r="F9001" s="4"/>
    </row>
    <row r="9002" spans="1:6" x14ac:dyDescent="0.4">
      <c r="A9002" s="4"/>
      <c r="B9002" s="4"/>
      <c r="D9002" s="4"/>
      <c r="E9002" s="4"/>
      <c r="F9002" s="4"/>
    </row>
    <row r="9003" spans="1:6" x14ac:dyDescent="0.4">
      <c r="A9003" s="4"/>
      <c r="B9003" s="4"/>
      <c r="D9003" s="4"/>
      <c r="E9003" s="4"/>
      <c r="F9003" s="4"/>
    </row>
    <row r="9004" spans="1:6" x14ac:dyDescent="0.4">
      <c r="A9004" s="4"/>
      <c r="B9004" s="4"/>
      <c r="D9004" s="4"/>
      <c r="E9004" s="4"/>
      <c r="F9004" s="4"/>
    </row>
    <row r="9005" spans="1:6" x14ac:dyDescent="0.4">
      <c r="A9005" s="4"/>
      <c r="B9005" s="4"/>
      <c r="D9005" s="4"/>
      <c r="E9005" s="4"/>
      <c r="F9005" s="4"/>
    </row>
    <row r="9006" spans="1:6" x14ac:dyDescent="0.4">
      <c r="A9006" s="4"/>
      <c r="B9006" s="4"/>
      <c r="D9006" s="4"/>
      <c r="E9006" s="4"/>
      <c r="F9006" s="4"/>
    </row>
    <row r="9007" spans="1:6" x14ac:dyDescent="0.4">
      <c r="A9007" s="4"/>
      <c r="B9007" s="4"/>
      <c r="D9007" s="4"/>
      <c r="E9007" s="4"/>
      <c r="F9007" s="4"/>
    </row>
    <row r="9008" spans="1:6" x14ac:dyDescent="0.4">
      <c r="A9008" s="4"/>
      <c r="B9008" s="4"/>
      <c r="D9008" s="4"/>
      <c r="E9008" s="4"/>
      <c r="F9008" s="4"/>
    </row>
    <row r="9009" spans="1:6" x14ac:dyDescent="0.4">
      <c r="A9009" s="4"/>
      <c r="B9009" s="4"/>
      <c r="D9009" s="4"/>
      <c r="E9009" s="4"/>
      <c r="F9009" s="4"/>
    </row>
    <row r="9010" spans="1:6" x14ac:dyDescent="0.4">
      <c r="A9010" s="4"/>
      <c r="B9010" s="4"/>
      <c r="D9010" s="4"/>
      <c r="E9010" s="4"/>
      <c r="F9010" s="4"/>
    </row>
    <row r="9011" spans="1:6" x14ac:dyDescent="0.4">
      <c r="A9011" s="4"/>
      <c r="B9011" s="4"/>
      <c r="D9011" s="4"/>
      <c r="E9011" s="4"/>
      <c r="F9011" s="4"/>
    </row>
    <row r="9012" spans="1:6" x14ac:dyDescent="0.4">
      <c r="A9012" s="4"/>
      <c r="B9012" s="4"/>
      <c r="D9012" s="4"/>
      <c r="E9012" s="4"/>
      <c r="F9012" s="4"/>
    </row>
    <row r="9013" spans="1:6" x14ac:dyDescent="0.4">
      <c r="A9013" s="4"/>
      <c r="B9013" s="4"/>
      <c r="D9013" s="4"/>
      <c r="E9013" s="4"/>
      <c r="F9013" s="4"/>
    </row>
    <row r="9014" spans="1:6" x14ac:dyDescent="0.4">
      <c r="A9014" s="4"/>
      <c r="B9014" s="4"/>
      <c r="D9014" s="4"/>
      <c r="E9014" s="4"/>
      <c r="F9014" s="4"/>
    </row>
    <row r="9015" spans="1:6" x14ac:dyDescent="0.4">
      <c r="A9015" s="4"/>
      <c r="B9015" s="4"/>
      <c r="D9015" s="4"/>
      <c r="E9015" s="4"/>
      <c r="F9015" s="4"/>
    </row>
    <row r="9016" spans="1:6" x14ac:dyDescent="0.4">
      <c r="A9016" s="4"/>
      <c r="B9016" s="4"/>
      <c r="D9016" s="4"/>
      <c r="E9016" s="4"/>
      <c r="F9016" s="4"/>
    </row>
    <row r="9017" spans="1:6" x14ac:dyDescent="0.4">
      <c r="A9017" s="4"/>
      <c r="B9017" s="4"/>
      <c r="D9017" s="4"/>
      <c r="E9017" s="4"/>
      <c r="F9017" s="4"/>
    </row>
    <row r="9018" spans="1:6" x14ac:dyDescent="0.4">
      <c r="A9018" s="4"/>
      <c r="B9018" s="4"/>
      <c r="D9018" s="4"/>
      <c r="E9018" s="4"/>
      <c r="F9018" s="4"/>
    </row>
    <row r="9019" spans="1:6" x14ac:dyDescent="0.4">
      <c r="A9019" s="4"/>
      <c r="B9019" s="4"/>
      <c r="D9019" s="4"/>
      <c r="E9019" s="4"/>
      <c r="F9019" s="4"/>
    </row>
    <row r="9020" spans="1:6" x14ac:dyDescent="0.4">
      <c r="A9020" s="4"/>
      <c r="B9020" s="4"/>
      <c r="D9020" s="4"/>
      <c r="E9020" s="4"/>
      <c r="F9020" s="4"/>
    </row>
    <row r="9021" spans="1:6" x14ac:dyDescent="0.4">
      <c r="A9021" s="4"/>
      <c r="B9021" s="4"/>
      <c r="D9021" s="4"/>
      <c r="E9021" s="4"/>
      <c r="F9021" s="4"/>
    </row>
    <row r="9022" spans="1:6" x14ac:dyDescent="0.4">
      <c r="A9022" s="4"/>
      <c r="B9022" s="4"/>
      <c r="D9022" s="4"/>
      <c r="E9022" s="4"/>
      <c r="F9022" s="4"/>
    </row>
    <row r="9023" spans="1:6" x14ac:dyDescent="0.4">
      <c r="A9023" s="4"/>
      <c r="B9023" s="4"/>
      <c r="D9023" s="4"/>
      <c r="E9023" s="4"/>
      <c r="F9023" s="4"/>
    </row>
    <row r="9024" spans="1:6" x14ac:dyDescent="0.4">
      <c r="A9024" s="4"/>
      <c r="B9024" s="4"/>
      <c r="D9024" s="4"/>
      <c r="E9024" s="4"/>
      <c r="F9024" s="4"/>
    </row>
    <row r="9025" spans="1:6" x14ac:dyDescent="0.4">
      <c r="A9025" s="4"/>
      <c r="B9025" s="4"/>
      <c r="D9025" s="4"/>
      <c r="E9025" s="4"/>
      <c r="F9025" s="4"/>
    </row>
    <row r="9026" spans="1:6" x14ac:dyDescent="0.4">
      <c r="A9026" s="4"/>
      <c r="B9026" s="4"/>
      <c r="D9026" s="4"/>
      <c r="E9026" s="4"/>
      <c r="F9026" s="4"/>
    </row>
    <row r="9027" spans="1:6" x14ac:dyDescent="0.4">
      <c r="A9027" s="4"/>
      <c r="B9027" s="4"/>
      <c r="D9027" s="4"/>
      <c r="E9027" s="4"/>
      <c r="F9027" s="4"/>
    </row>
    <row r="9028" spans="1:6" x14ac:dyDescent="0.4">
      <c r="A9028" s="4"/>
      <c r="B9028" s="4"/>
      <c r="D9028" s="4"/>
      <c r="E9028" s="4"/>
      <c r="F9028" s="4"/>
    </row>
    <row r="9029" spans="1:6" x14ac:dyDescent="0.4">
      <c r="A9029" s="4"/>
      <c r="B9029" s="4"/>
      <c r="D9029" s="4"/>
      <c r="E9029" s="4"/>
      <c r="F9029" s="4"/>
    </row>
    <row r="9030" spans="1:6" x14ac:dyDescent="0.4">
      <c r="A9030" s="4"/>
      <c r="B9030" s="4"/>
      <c r="D9030" s="4"/>
      <c r="E9030" s="4"/>
      <c r="F9030" s="4"/>
    </row>
    <row r="9031" spans="1:6" x14ac:dyDescent="0.4">
      <c r="A9031" s="4"/>
      <c r="B9031" s="4"/>
      <c r="D9031" s="4"/>
      <c r="E9031" s="4"/>
      <c r="F9031" s="4"/>
    </row>
    <row r="9032" spans="1:6" x14ac:dyDescent="0.4">
      <c r="A9032" s="4"/>
      <c r="B9032" s="4"/>
      <c r="D9032" s="4"/>
      <c r="E9032" s="4"/>
      <c r="F9032" s="4"/>
    </row>
    <row r="9033" spans="1:6" x14ac:dyDescent="0.4">
      <c r="A9033" s="4"/>
      <c r="B9033" s="4"/>
      <c r="D9033" s="4"/>
      <c r="E9033" s="4"/>
      <c r="F9033" s="4"/>
    </row>
    <row r="9034" spans="1:6" x14ac:dyDescent="0.4">
      <c r="A9034" s="4"/>
      <c r="B9034" s="4"/>
      <c r="D9034" s="4"/>
      <c r="E9034" s="4"/>
      <c r="F9034" s="4"/>
    </row>
    <row r="9035" spans="1:6" x14ac:dyDescent="0.4">
      <c r="A9035" s="4"/>
      <c r="B9035" s="4"/>
      <c r="D9035" s="4"/>
      <c r="E9035" s="4"/>
      <c r="F9035" s="4"/>
    </row>
    <row r="9036" spans="1:6" x14ac:dyDescent="0.4">
      <c r="A9036" s="4"/>
      <c r="B9036" s="4"/>
      <c r="D9036" s="4"/>
      <c r="E9036" s="4"/>
      <c r="F9036" s="4"/>
    </row>
    <row r="9037" spans="1:6" x14ac:dyDescent="0.4">
      <c r="A9037" s="4"/>
      <c r="B9037" s="4"/>
      <c r="D9037" s="4"/>
      <c r="E9037" s="4"/>
      <c r="F9037" s="4"/>
    </row>
    <row r="9038" spans="1:6" x14ac:dyDescent="0.4">
      <c r="A9038" s="4"/>
      <c r="B9038" s="4"/>
      <c r="D9038" s="4"/>
      <c r="E9038" s="4"/>
      <c r="F9038" s="4"/>
    </row>
    <row r="9039" spans="1:6" x14ac:dyDescent="0.4">
      <c r="A9039" s="4"/>
      <c r="B9039" s="4"/>
      <c r="D9039" s="4"/>
      <c r="E9039" s="4"/>
      <c r="F9039" s="4"/>
    </row>
    <row r="9040" spans="1:6" x14ac:dyDescent="0.4">
      <c r="A9040" s="4"/>
      <c r="B9040" s="4"/>
      <c r="D9040" s="4"/>
      <c r="E9040" s="4"/>
      <c r="F9040" s="4"/>
    </row>
    <row r="9041" spans="1:6" x14ac:dyDescent="0.4">
      <c r="A9041" s="4"/>
      <c r="B9041" s="4"/>
      <c r="D9041" s="4"/>
      <c r="E9041" s="4"/>
      <c r="F9041" s="4"/>
    </row>
    <row r="9042" spans="1:6" x14ac:dyDescent="0.4">
      <c r="A9042" s="4"/>
      <c r="B9042" s="4"/>
      <c r="D9042" s="4"/>
      <c r="E9042" s="4"/>
      <c r="F9042" s="4"/>
    </row>
    <row r="9043" spans="1:6" x14ac:dyDescent="0.4">
      <c r="A9043" s="4"/>
      <c r="B9043" s="4"/>
      <c r="D9043" s="4"/>
      <c r="E9043" s="4"/>
      <c r="F9043" s="4"/>
    </row>
    <row r="9044" spans="1:6" x14ac:dyDescent="0.4">
      <c r="A9044" s="4"/>
      <c r="B9044" s="4"/>
      <c r="D9044" s="4"/>
      <c r="E9044" s="4"/>
      <c r="F9044" s="4"/>
    </row>
    <row r="9045" spans="1:6" x14ac:dyDescent="0.4">
      <c r="A9045" s="4"/>
      <c r="B9045" s="4"/>
      <c r="D9045" s="4"/>
      <c r="E9045" s="4"/>
      <c r="F9045" s="4"/>
    </row>
    <row r="9046" spans="1:6" x14ac:dyDescent="0.4">
      <c r="A9046" s="4"/>
      <c r="B9046" s="4"/>
      <c r="D9046" s="4"/>
      <c r="E9046" s="4"/>
      <c r="F9046" s="4"/>
    </row>
    <row r="9047" spans="1:6" x14ac:dyDescent="0.4">
      <c r="A9047" s="4"/>
      <c r="B9047" s="4"/>
      <c r="D9047" s="4"/>
      <c r="E9047" s="4"/>
      <c r="F9047" s="4"/>
    </row>
    <row r="9048" spans="1:6" x14ac:dyDescent="0.4">
      <c r="A9048" s="4"/>
      <c r="B9048" s="4"/>
      <c r="D9048" s="4"/>
      <c r="E9048" s="4"/>
      <c r="F9048" s="4"/>
    </row>
    <row r="9049" spans="1:6" x14ac:dyDescent="0.4">
      <c r="A9049" s="4"/>
      <c r="B9049" s="4"/>
      <c r="D9049" s="4"/>
      <c r="E9049" s="4"/>
      <c r="F9049" s="4"/>
    </row>
    <row r="9050" spans="1:6" x14ac:dyDescent="0.4">
      <c r="A9050" s="4"/>
      <c r="B9050" s="4"/>
      <c r="D9050" s="4"/>
      <c r="E9050" s="4"/>
      <c r="F9050" s="4"/>
    </row>
    <row r="9051" spans="1:6" x14ac:dyDescent="0.4">
      <c r="A9051" s="4"/>
      <c r="B9051" s="4"/>
      <c r="D9051" s="4"/>
      <c r="E9051" s="4"/>
      <c r="F9051" s="4"/>
    </row>
    <row r="9052" spans="1:6" x14ac:dyDescent="0.4">
      <c r="A9052" s="4"/>
      <c r="B9052" s="4"/>
      <c r="D9052" s="4"/>
      <c r="E9052" s="4"/>
      <c r="F9052" s="4"/>
    </row>
    <row r="9053" spans="1:6" x14ac:dyDescent="0.4">
      <c r="A9053" s="4"/>
      <c r="B9053" s="4"/>
      <c r="D9053" s="4"/>
      <c r="E9053" s="4"/>
      <c r="F9053" s="4"/>
    </row>
    <row r="9054" spans="1:6" x14ac:dyDescent="0.4">
      <c r="A9054" s="4"/>
      <c r="B9054" s="4"/>
      <c r="D9054" s="4"/>
      <c r="E9054" s="4"/>
      <c r="F9054" s="4"/>
    </row>
    <row r="9055" spans="1:6" x14ac:dyDescent="0.4">
      <c r="A9055" s="4"/>
      <c r="B9055" s="4"/>
      <c r="D9055" s="4"/>
      <c r="E9055" s="4"/>
      <c r="F9055" s="4"/>
    </row>
    <row r="9056" spans="1:6" x14ac:dyDescent="0.4">
      <c r="A9056" s="4"/>
      <c r="B9056" s="4"/>
      <c r="D9056" s="4"/>
      <c r="E9056" s="4"/>
      <c r="F9056" s="4"/>
    </row>
    <row r="9057" spans="1:6" x14ac:dyDescent="0.4">
      <c r="A9057" s="4"/>
      <c r="B9057" s="4"/>
      <c r="D9057" s="4"/>
      <c r="E9057" s="4"/>
      <c r="F9057" s="4"/>
    </row>
    <row r="9058" spans="1:6" x14ac:dyDescent="0.4">
      <c r="A9058" s="4"/>
      <c r="B9058" s="4"/>
      <c r="D9058" s="4"/>
      <c r="E9058" s="4"/>
      <c r="F9058" s="4"/>
    </row>
    <row r="9059" spans="1:6" x14ac:dyDescent="0.4">
      <c r="A9059" s="4"/>
      <c r="B9059" s="4"/>
      <c r="D9059" s="4"/>
      <c r="E9059" s="4"/>
      <c r="F9059" s="4"/>
    </row>
    <row r="9060" spans="1:6" x14ac:dyDescent="0.4">
      <c r="A9060" s="4"/>
      <c r="B9060" s="4"/>
      <c r="D9060" s="4"/>
      <c r="E9060" s="4"/>
      <c r="F9060" s="4"/>
    </row>
    <row r="9061" spans="1:6" x14ac:dyDescent="0.4">
      <c r="A9061" s="4"/>
      <c r="B9061" s="4"/>
      <c r="D9061" s="4"/>
      <c r="E9061" s="4"/>
      <c r="F9061" s="4"/>
    </row>
    <row r="9062" spans="1:6" x14ac:dyDescent="0.4">
      <c r="A9062" s="4"/>
      <c r="B9062" s="4"/>
      <c r="D9062" s="4"/>
      <c r="E9062" s="4"/>
      <c r="F9062" s="4"/>
    </row>
    <row r="9063" spans="1:6" x14ac:dyDescent="0.4">
      <c r="A9063" s="4"/>
      <c r="B9063" s="4"/>
      <c r="D9063" s="4"/>
      <c r="E9063" s="4"/>
      <c r="F9063" s="4"/>
    </row>
    <row r="9064" spans="1:6" x14ac:dyDescent="0.4">
      <c r="A9064" s="4"/>
      <c r="B9064" s="4"/>
      <c r="D9064" s="4"/>
      <c r="E9064" s="4"/>
      <c r="F9064" s="4"/>
    </row>
    <row r="9065" spans="1:6" x14ac:dyDescent="0.4">
      <c r="A9065" s="4"/>
      <c r="B9065" s="4"/>
      <c r="D9065" s="4"/>
      <c r="E9065" s="4"/>
      <c r="F9065" s="4"/>
    </row>
    <row r="9066" spans="1:6" x14ac:dyDescent="0.4">
      <c r="A9066" s="4"/>
      <c r="B9066" s="4"/>
      <c r="D9066" s="4"/>
      <c r="E9066" s="4"/>
      <c r="F9066" s="4"/>
    </row>
    <row r="9067" spans="1:6" x14ac:dyDescent="0.4">
      <c r="A9067" s="4"/>
      <c r="B9067" s="4"/>
      <c r="D9067" s="4"/>
      <c r="E9067" s="4"/>
      <c r="F9067" s="4"/>
    </row>
    <row r="9068" spans="1:6" x14ac:dyDescent="0.4">
      <c r="A9068" s="4"/>
      <c r="B9068" s="4"/>
      <c r="D9068" s="4"/>
      <c r="E9068" s="4"/>
      <c r="F9068" s="4"/>
    </row>
    <row r="9069" spans="1:6" x14ac:dyDescent="0.4">
      <c r="A9069" s="4"/>
      <c r="B9069" s="4"/>
      <c r="D9069" s="4"/>
      <c r="E9069" s="4"/>
      <c r="F9069" s="4"/>
    </row>
    <row r="9070" spans="1:6" x14ac:dyDescent="0.4">
      <c r="A9070" s="4"/>
      <c r="B9070" s="4"/>
      <c r="D9070" s="4"/>
      <c r="E9070" s="4"/>
      <c r="F9070" s="4"/>
    </row>
    <row r="9071" spans="1:6" x14ac:dyDescent="0.4">
      <c r="A9071" s="4"/>
      <c r="B9071" s="4"/>
      <c r="D9071" s="4"/>
      <c r="E9071" s="4"/>
      <c r="F9071" s="4"/>
    </row>
    <row r="9072" spans="1:6" x14ac:dyDescent="0.4">
      <c r="A9072" s="4"/>
      <c r="B9072" s="4"/>
      <c r="D9072" s="4"/>
      <c r="E9072" s="4"/>
      <c r="F9072" s="4"/>
    </row>
    <row r="9073" spans="1:6" x14ac:dyDescent="0.4">
      <c r="A9073" s="4"/>
      <c r="B9073" s="4"/>
      <c r="D9073" s="4"/>
      <c r="E9073" s="4"/>
      <c r="F9073" s="4"/>
    </row>
    <row r="9074" spans="1:6" x14ac:dyDescent="0.4">
      <c r="A9074" s="4"/>
      <c r="B9074" s="4"/>
      <c r="D9074" s="4"/>
      <c r="E9074" s="4"/>
      <c r="F9074" s="4"/>
    </row>
    <row r="9075" spans="1:6" x14ac:dyDescent="0.4">
      <c r="A9075" s="4"/>
      <c r="B9075" s="4"/>
      <c r="D9075" s="4"/>
      <c r="E9075" s="4"/>
      <c r="F9075" s="4"/>
    </row>
    <row r="9076" spans="1:6" x14ac:dyDescent="0.4">
      <c r="A9076" s="4"/>
      <c r="B9076" s="4"/>
      <c r="D9076" s="4"/>
      <c r="E9076" s="4"/>
      <c r="F9076" s="4"/>
    </row>
    <row r="9077" spans="1:6" x14ac:dyDescent="0.4">
      <c r="A9077" s="4"/>
      <c r="B9077" s="4"/>
      <c r="D9077" s="4"/>
      <c r="E9077" s="4"/>
      <c r="F9077" s="4"/>
    </row>
    <row r="9078" spans="1:6" x14ac:dyDescent="0.4">
      <c r="A9078" s="4"/>
      <c r="B9078" s="4"/>
      <c r="D9078" s="4"/>
      <c r="E9078" s="4"/>
      <c r="F9078" s="4"/>
    </row>
    <row r="9079" spans="1:6" x14ac:dyDescent="0.4">
      <c r="A9079" s="4"/>
      <c r="B9079" s="4"/>
      <c r="D9079" s="4"/>
      <c r="E9079" s="4"/>
      <c r="F9079" s="4"/>
    </row>
    <row r="9080" spans="1:6" x14ac:dyDescent="0.4">
      <c r="A9080" s="4"/>
      <c r="B9080" s="4"/>
      <c r="D9080" s="4"/>
      <c r="E9080" s="4"/>
      <c r="F9080" s="4"/>
    </row>
    <row r="9081" spans="1:6" x14ac:dyDescent="0.4">
      <c r="A9081" s="4"/>
      <c r="B9081" s="4"/>
      <c r="D9081" s="4"/>
      <c r="E9081" s="4"/>
      <c r="F9081" s="4"/>
    </row>
    <row r="9082" spans="1:6" x14ac:dyDescent="0.4">
      <c r="A9082" s="4"/>
      <c r="B9082" s="4"/>
      <c r="D9082" s="4"/>
      <c r="E9082" s="4"/>
      <c r="F9082" s="4"/>
    </row>
    <row r="9083" spans="1:6" x14ac:dyDescent="0.4">
      <c r="A9083" s="4"/>
      <c r="B9083" s="4"/>
      <c r="D9083" s="4"/>
      <c r="E9083" s="4"/>
      <c r="F9083" s="4"/>
    </row>
    <row r="9084" spans="1:6" x14ac:dyDescent="0.4">
      <c r="A9084" s="4"/>
      <c r="B9084" s="4"/>
      <c r="D9084" s="4"/>
      <c r="E9084" s="4"/>
      <c r="F9084" s="4"/>
    </row>
    <row r="9085" spans="1:6" x14ac:dyDescent="0.4">
      <c r="A9085" s="4"/>
      <c r="B9085" s="4"/>
      <c r="D9085" s="4"/>
      <c r="E9085" s="4"/>
      <c r="F9085" s="4"/>
    </row>
    <row r="9086" spans="1:6" x14ac:dyDescent="0.4">
      <c r="A9086" s="4"/>
      <c r="B9086" s="4"/>
      <c r="D9086" s="4"/>
      <c r="E9086" s="4"/>
      <c r="F9086" s="4"/>
    </row>
    <row r="9087" spans="1:6" x14ac:dyDescent="0.4">
      <c r="A9087" s="4"/>
      <c r="B9087" s="4"/>
      <c r="D9087" s="4"/>
      <c r="E9087" s="4"/>
      <c r="F9087" s="4"/>
    </row>
    <row r="9088" spans="1:6" x14ac:dyDescent="0.4">
      <c r="A9088" s="4"/>
      <c r="B9088" s="4"/>
      <c r="D9088" s="4"/>
      <c r="E9088" s="4"/>
      <c r="F9088" s="4"/>
    </row>
    <row r="9089" spans="1:6" x14ac:dyDescent="0.4">
      <c r="A9089" s="4"/>
      <c r="B9089" s="4"/>
      <c r="D9089" s="4"/>
      <c r="E9089" s="4"/>
      <c r="F9089" s="4"/>
    </row>
    <row r="9090" spans="1:6" x14ac:dyDescent="0.4">
      <c r="A9090" s="4"/>
      <c r="B9090" s="4"/>
      <c r="D9090" s="4"/>
      <c r="E9090" s="4"/>
      <c r="F9090" s="4"/>
    </row>
    <row r="9091" spans="1:6" x14ac:dyDescent="0.4">
      <c r="A9091" s="4"/>
      <c r="B9091" s="4"/>
      <c r="D9091" s="4"/>
      <c r="E9091" s="4"/>
      <c r="F9091" s="4"/>
    </row>
    <row r="9092" spans="1:6" x14ac:dyDescent="0.4">
      <c r="A9092" s="4"/>
      <c r="B9092" s="4"/>
      <c r="D9092" s="4"/>
      <c r="E9092" s="4"/>
      <c r="F9092" s="4"/>
    </row>
    <row r="9093" spans="1:6" x14ac:dyDescent="0.4">
      <c r="A9093" s="4"/>
      <c r="B9093" s="4"/>
      <c r="D9093" s="4"/>
      <c r="E9093" s="4"/>
      <c r="F9093" s="4"/>
    </row>
    <row r="9094" spans="1:6" x14ac:dyDescent="0.4">
      <c r="A9094" s="4"/>
      <c r="B9094" s="4"/>
      <c r="D9094" s="4"/>
      <c r="E9094" s="4"/>
      <c r="F9094" s="4"/>
    </row>
    <row r="9095" spans="1:6" x14ac:dyDescent="0.4">
      <c r="A9095" s="4"/>
      <c r="B9095" s="4"/>
      <c r="D9095" s="4"/>
      <c r="E9095" s="4"/>
      <c r="F9095" s="4"/>
    </row>
    <row r="9096" spans="1:6" x14ac:dyDescent="0.4">
      <c r="A9096" s="4"/>
      <c r="B9096" s="4"/>
      <c r="D9096" s="4"/>
      <c r="E9096" s="4"/>
      <c r="F9096" s="4"/>
    </row>
    <row r="9097" spans="1:6" x14ac:dyDescent="0.4">
      <c r="A9097" s="4"/>
      <c r="B9097" s="4"/>
      <c r="D9097" s="4"/>
      <c r="E9097" s="4"/>
      <c r="F9097" s="4"/>
    </row>
    <row r="9098" spans="1:6" x14ac:dyDescent="0.4">
      <c r="A9098" s="4"/>
      <c r="B9098" s="4"/>
      <c r="D9098" s="4"/>
      <c r="E9098" s="4"/>
      <c r="F9098" s="4"/>
    </row>
    <row r="9099" spans="1:6" x14ac:dyDescent="0.4">
      <c r="A9099" s="4"/>
      <c r="B9099" s="4"/>
      <c r="D9099" s="4"/>
      <c r="E9099" s="4"/>
      <c r="F9099" s="4"/>
    </row>
    <row r="9100" spans="1:6" x14ac:dyDescent="0.4">
      <c r="A9100" s="4"/>
      <c r="B9100" s="4"/>
      <c r="D9100" s="4"/>
      <c r="E9100" s="4"/>
      <c r="F9100" s="4"/>
    </row>
    <row r="9101" spans="1:6" x14ac:dyDescent="0.4">
      <c r="A9101" s="4"/>
      <c r="B9101" s="4"/>
      <c r="D9101" s="4"/>
      <c r="E9101" s="4"/>
      <c r="F9101" s="4"/>
    </row>
    <row r="9102" spans="1:6" x14ac:dyDescent="0.4">
      <c r="A9102" s="4"/>
      <c r="B9102" s="4"/>
      <c r="D9102" s="4"/>
      <c r="E9102" s="4"/>
      <c r="F9102" s="4"/>
    </row>
    <row r="9103" spans="1:6" x14ac:dyDescent="0.4">
      <c r="A9103" s="4"/>
      <c r="B9103" s="4"/>
      <c r="D9103" s="4"/>
      <c r="E9103" s="4"/>
      <c r="F9103" s="4"/>
    </row>
    <row r="9104" spans="1:6" x14ac:dyDescent="0.4">
      <c r="A9104" s="4"/>
      <c r="B9104" s="4"/>
      <c r="D9104" s="4"/>
      <c r="E9104" s="4"/>
      <c r="F9104" s="4"/>
    </row>
    <row r="9105" spans="1:6" x14ac:dyDescent="0.4">
      <c r="A9105" s="4"/>
      <c r="B9105" s="4"/>
      <c r="D9105" s="4"/>
      <c r="E9105" s="4"/>
      <c r="F9105" s="4"/>
    </row>
    <row r="9106" spans="1:6" x14ac:dyDescent="0.4">
      <c r="A9106" s="4"/>
      <c r="B9106" s="4"/>
      <c r="D9106" s="4"/>
      <c r="E9106" s="4"/>
      <c r="F9106" s="4"/>
    </row>
    <row r="9107" spans="1:6" x14ac:dyDescent="0.4">
      <c r="A9107" s="4"/>
      <c r="B9107" s="4"/>
      <c r="D9107" s="4"/>
      <c r="E9107" s="4"/>
      <c r="F9107" s="4"/>
    </row>
    <row r="9108" spans="1:6" x14ac:dyDescent="0.4">
      <c r="A9108" s="4"/>
      <c r="B9108" s="4"/>
      <c r="D9108" s="4"/>
      <c r="E9108" s="4"/>
      <c r="F9108" s="4"/>
    </row>
    <row r="9109" spans="1:6" x14ac:dyDescent="0.4">
      <c r="A9109" s="4"/>
      <c r="B9109" s="4"/>
      <c r="D9109" s="4"/>
      <c r="E9109" s="4"/>
      <c r="F9109" s="4"/>
    </row>
    <row r="9110" spans="1:6" x14ac:dyDescent="0.4">
      <c r="A9110" s="4"/>
      <c r="B9110" s="4"/>
      <c r="D9110" s="4"/>
      <c r="E9110" s="4"/>
      <c r="F9110" s="4"/>
    </row>
    <row r="9111" spans="1:6" x14ac:dyDescent="0.4">
      <c r="A9111" s="4"/>
      <c r="B9111" s="4"/>
      <c r="D9111" s="4"/>
      <c r="E9111" s="4"/>
      <c r="F9111" s="4"/>
    </row>
    <row r="9112" spans="1:6" x14ac:dyDescent="0.4">
      <c r="A9112" s="4"/>
      <c r="B9112" s="4"/>
      <c r="D9112" s="4"/>
      <c r="E9112" s="4"/>
      <c r="F9112" s="4"/>
    </row>
    <row r="9113" spans="1:6" x14ac:dyDescent="0.4">
      <c r="A9113" s="4"/>
      <c r="B9113" s="4"/>
      <c r="D9113" s="4"/>
      <c r="E9113" s="4"/>
      <c r="F9113" s="4"/>
    </row>
    <row r="9114" spans="1:6" x14ac:dyDescent="0.4">
      <c r="A9114" s="4"/>
      <c r="B9114" s="4"/>
      <c r="D9114" s="4"/>
      <c r="E9114" s="4"/>
      <c r="F9114" s="4"/>
    </row>
    <row r="9115" spans="1:6" x14ac:dyDescent="0.4">
      <c r="A9115" s="4"/>
      <c r="B9115" s="4"/>
      <c r="D9115" s="4"/>
      <c r="E9115" s="4"/>
      <c r="F9115" s="4"/>
    </row>
    <row r="9116" spans="1:6" x14ac:dyDescent="0.4">
      <c r="A9116" s="4"/>
      <c r="B9116" s="4"/>
      <c r="D9116" s="4"/>
      <c r="E9116" s="4"/>
      <c r="F9116" s="4"/>
    </row>
    <row r="9117" spans="1:6" x14ac:dyDescent="0.4">
      <c r="A9117" s="4"/>
      <c r="B9117" s="4"/>
      <c r="D9117" s="4"/>
      <c r="E9117" s="4"/>
      <c r="F9117" s="4"/>
    </row>
    <row r="9118" spans="1:6" x14ac:dyDescent="0.4">
      <c r="A9118" s="4"/>
      <c r="B9118" s="4"/>
      <c r="D9118" s="4"/>
      <c r="E9118" s="4"/>
      <c r="F9118" s="4"/>
    </row>
    <row r="9119" spans="1:6" x14ac:dyDescent="0.4">
      <c r="A9119" s="4"/>
      <c r="B9119" s="4"/>
      <c r="D9119" s="4"/>
      <c r="E9119" s="4"/>
      <c r="F9119" s="4"/>
    </row>
    <row r="9120" spans="1:6" x14ac:dyDescent="0.4">
      <c r="A9120" s="4"/>
      <c r="B9120" s="4"/>
      <c r="D9120" s="4"/>
      <c r="E9120" s="4"/>
      <c r="F9120" s="4"/>
    </row>
    <row r="9121" spans="1:6" x14ac:dyDescent="0.4">
      <c r="A9121" s="4"/>
      <c r="B9121" s="4"/>
      <c r="D9121" s="4"/>
      <c r="E9121" s="4"/>
      <c r="F9121" s="4"/>
    </row>
    <row r="9122" spans="1:6" x14ac:dyDescent="0.4">
      <c r="A9122" s="4"/>
      <c r="B9122" s="4"/>
      <c r="D9122" s="4"/>
      <c r="E9122" s="4"/>
      <c r="F9122" s="4"/>
    </row>
    <row r="9123" spans="1:6" x14ac:dyDescent="0.4">
      <c r="A9123" s="4"/>
      <c r="B9123" s="4"/>
      <c r="D9123" s="4"/>
      <c r="E9123" s="4"/>
      <c r="F9123" s="4"/>
    </row>
    <row r="9124" spans="1:6" x14ac:dyDescent="0.4">
      <c r="A9124" s="4"/>
      <c r="B9124" s="4"/>
      <c r="D9124" s="4"/>
      <c r="E9124" s="4"/>
      <c r="F9124" s="4"/>
    </row>
    <row r="9125" spans="1:6" x14ac:dyDescent="0.4">
      <c r="A9125" s="4"/>
      <c r="B9125" s="4"/>
      <c r="D9125" s="4"/>
      <c r="E9125" s="4"/>
      <c r="F9125" s="4"/>
    </row>
    <row r="9126" spans="1:6" x14ac:dyDescent="0.4">
      <c r="A9126" s="4"/>
      <c r="B9126" s="4"/>
      <c r="D9126" s="4"/>
      <c r="E9126" s="4"/>
      <c r="F9126" s="4"/>
    </row>
    <row r="9127" spans="1:6" x14ac:dyDescent="0.4">
      <c r="A9127" s="4"/>
      <c r="B9127" s="4"/>
      <c r="D9127" s="4"/>
      <c r="E9127" s="4"/>
      <c r="F9127" s="4"/>
    </row>
    <row r="9128" spans="1:6" x14ac:dyDescent="0.4">
      <c r="A9128" s="4"/>
      <c r="B9128" s="4"/>
      <c r="D9128" s="4"/>
      <c r="E9128" s="4"/>
      <c r="F9128" s="4"/>
    </row>
    <row r="9129" spans="1:6" x14ac:dyDescent="0.4">
      <c r="A9129" s="4"/>
      <c r="B9129" s="4"/>
      <c r="D9129" s="4"/>
      <c r="E9129" s="4"/>
      <c r="F9129" s="4"/>
    </row>
    <row r="9130" spans="1:6" x14ac:dyDescent="0.4">
      <c r="A9130" s="4"/>
      <c r="B9130" s="4"/>
      <c r="D9130" s="4"/>
      <c r="E9130" s="4"/>
      <c r="F9130" s="4"/>
    </row>
    <row r="9131" spans="1:6" x14ac:dyDescent="0.4">
      <c r="A9131" s="4"/>
      <c r="B9131" s="4"/>
      <c r="D9131" s="4"/>
      <c r="E9131" s="4"/>
      <c r="F9131" s="4"/>
    </row>
    <row r="9132" spans="1:6" x14ac:dyDescent="0.4">
      <c r="A9132" s="4"/>
      <c r="B9132" s="4"/>
      <c r="D9132" s="4"/>
      <c r="E9132" s="4"/>
      <c r="F9132" s="4"/>
    </row>
    <row r="9133" spans="1:6" x14ac:dyDescent="0.4">
      <c r="A9133" s="4"/>
      <c r="B9133" s="4"/>
      <c r="D9133" s="4"/>
      <c r="E9133" s="4"/>
      <c r="F9133" s="4"/>
    </row>
    <row r="9134" spans="1:6" x14ac:dyDescent="0.4">
      <c r="A9134" s="4"/>
      <c r="B9134" s="4"/>
      <c r="D9134" s="4"/>
      <c r="E9134" s="4"/>
      <c r="F9134" s="4"/>
    </row>
    <row r="9135" spans="1:6" x14ac:dyDescent="0.4">
      <c r="A9135" s="4"/>
      <c r="B9135" s="4"/>
      <c r="D9135" s="4"/>
      <c r="E9135" s="4"/>
      <c r="F9135" s="4"/>
    </row>
    <row r="9136" spans="1:6" x14ac:dyDescent="0.4">
      <c r="A9136" s="4"/>
      <c r="B9136" s="4"/>
      <c r="D9136" s="4"/>
      <c r="E9136" s="4"/>
      <c r="F9136" s="4"/>
    </row>
    <row r="9137" spans="1:6" x14ac:dyDescent="0.4">
      <c r="A9137" s="4"/>
      <c r="B9137" s="4"/>
      <c r="D9137" s="4"/>
      <c r="E9137" s="4"/>
      <c r="F9137" s="4"/>
    </row>
    <row r="9138" spans="1:6" x14ac:dyDescent="0.4">
      <c r="A9138" s="4"/>
      <c r="B9138" s="4"/>
      <c r="D9138" s="4"/>
      <c r="E9138" s="4"/>
      <c r="F9138" s="4"/>
    </row>
    <row r="9139" spans="1:6" x14ac:dyDescent="0.4">
      <c r="A9139" s="4"/>
      <c r="B9139" s="4"/>
      <c r="D9139" s="4"/>
      <c r="E9139" s="4"/>
      <c r="F9139" s="4"/>
    </row>
    <row r="9140" spans="1:6" x14ac:dyDescent="0.4">
      <c r="A9140" s="4"/>
      <c r="B9140" s="4"/>
      <c r="D9140" s="4"/>
      <c r="E9140" s="4"/>
      <c r="F9140" s="4"/>
    </row>
    <row r="9141" spans="1:6" x14ac:dyDescent="0.4">
      <c r="A9141" s="4"/>
      <c r="B9141" s="4"/>
      <c r="D9141" s="4"/>
      <c r="E9141" s="4"/>
      <c r="F9141" s="4"/>
    </row>
    <row r="9142" spans="1:6" x14ac:dyDescent="0.4">
      <c r="A9142" s="4"/>
      <c r="B9142" s="4"/>
      <c r="D9142" s="4"/>
      <c r="E9142" s="4"/>
      <c r="F9142" s="4"/>
    </row>
    <row r="9143" spans="1:6" x14ac:dyDescent="0.4">
      <c r="A9143" s="4"/>
      <c r="B9143" s="4"/>
      <c r="D9143" s="4"/>
      <c r="E9143" s="4"/>
      <c r="F9143" s="4"/>
    </row>
    <row r="9144" spans="1:6" x14ac:dyDescent="0.4">
      <c r="A9144" s="4"/>
      <c r="B9144" s="4"/>
      <c r="D9144" s="4"/>
      <c r="E9144" s="4"/>
      <c r="F9144" s="4"/>
    </row>
    <row r="9145" spans="1:6" x14ac:dyDescent="0.4">
      <c r="A9145" s="4"/>
      <c r="B9145" s="4"/>
      <c r="D9145" s="4"/>
      <c r="E9145" s="4"/>
      <c r="F9145" s="4"/>
    </row>
    <row r="9146" spans="1:6" x14ac:dyDescent="0.4">
      <c r="A9146" s="4"/>
      <c r="B9146" s="4"/>
      <c r="D9146" s="4"/>
      <c r="E9146" s="4"/>
      <c r="F9146" s="4"/>
    </row>
    <row r="9147" spans="1:6" x14ac:dyDescent="0.4">
      <c r="A9147" s="4"/>
      <c r="B9147" s="4"/>
      <c r="D9147" s="4"/>
      <c r="E9147" s="4"/>
      <c r="F9147" s="4"/>
    </row>
    <row r="9148" spans="1:6" x14ac:dyDescent="0.4">
      <c r="A9148" s="4"/>
      <c r="B9148" s="4"/>
      <c r="D9148" s="4"/>
      <c r="E9148" s="4"/>
      <c r="F9148" s="4"/>
    </row>
    <row r="9149" spans="1:6" x14ac:dyDescent="0.4">
      <c r="A9149" s="4"/>
      <c r="B9149" s="4"/>
      <c r="D9149" s="4"/>
      <c r="E9149" s="4"/>
      <c r="F9149" s="4"/>
    </row>
    <row r="9150" spans="1:6" x14ac:dyDescent="0.4">
      <c r="A9150" s="4"/>
      <c r="B9150" s="4"/>
      <c r="D9150" s="4"/>
      <c r="E9150" s="4"/>
      <c r="F9150" s="4"/>
    </row>
    <row r="9151" spans="1:6" x14ac:dyDescent="0.4">
      <c r="A9151" s="4"/>
      <c r="B9151" s="4"/>
      <c r="D9151" s="4"/>
      <c r="E9151" s="4"/>
      <c r="F9151" s="4"/>
    </row>
    <row r="9152" spans="1:6" x14ac:dyDescent="0.4">
      <c r="A9152" s="4"/>
      <c r="B9152" s="4"/>
      <c r="D9152" s="4"/>
      <c r="E9152" s="4"/>
      <c r="F9152" s="4"/>
    </row>
    <row r="9153" spans="1:6" x14ac:dyDescent="0.4">
      <c r="A9153" s="4"/>
      <c r="B9153" s="4"/>
      <c r="D9153" s="4"/>
      <c r="E9153" s="4"/>
      <c r="F9153" s="4"/>
    </row>
    <row r="9154" spans="1:6" x14ac:dyDescent="0.4">
      <c r="A9154" s="4"/>
      <c r="B9154" s="4"/>
      <c r="D9154" s="4"/>
      <c r="E9154" s="4"/>
      <c r="F9154" s="4"/>
    </row>
    <row r="9155" spans="1:6" x14ac:dyDescent="0.4">
      <c r="A9155" s="4"/>
      <c r="B9155" s="4"/>
      <c r="D9155" s="4"/>
      <c r="E9155" s="4"/>
      <c r="F9155" s="4"/>
    </row>
    <row r="9156" spans="1:6" x14ac:dyDescent="0.4">
      <c r="A9156" s="4"/>
      <c r="B9156" s="4"/>
      <c r="D9156" s="4"/>
      <c r="E9156" s="4"/>
      <c r="F9156" s="4"/>
    </row>
    <row r="9157" spans="1:6" x14ac:dyDescent="0.4">
      <c r="A9157" s="4"/>
      <c r="B9157" s="4"/>
      <c r="D9157" s="4"/>
      <c r="E9157" s="4"/>
      <c r="F9157" s="4"/>
    </row>
    <row r="9158" spans="1:6" x14ac:dyDescent="0.4">
      <c r="A9158" s="4"/>
      <c r="B9158" s="4"/>
      <c r="D9158" s="4"/>
      <c r="E9158" s="4"/>
      <c r="F9158" s="4"/>
    </row>
    <row r="9159" spans="1:6" x14ac:dyDescent="0.4">
      <c r="A9159" s="4"/>
      <c r="B9159" s="4"/>
      <c r="D9159" s="4"/>
      <c r="E9159" s="4"/>
      <c r="F9159" s="4"/>
    </row>
    <row r="9160" spans="1:6" x14ac:dyDescent="0.4">
      <c r="A9160" s="4"/>
      <c r="B9160" s="4"/>
      <c r="D9160" s="4"/>
      <c r="E9160" s="4"/>
      <c r="F9160" s="4"/>
    </row>
    <row r="9161" spans="1:6" x14ac:dyDescent="0.4">
      <c r="A9161" s="4"/>
      <c r="B9161" s="4"/>
      <c r="D9161" s="4"/>
      <c r="E9161" s="4"/>
      <c r="F9161" s="4"/>
    </row>
    <row r="9162" spans="1:6" x14ac:dyDescent="0.4">
      <c r="A9162" s="4"/>
      <c r="B9162" s="4"/>
      <c r="D9162" s="4"/>
      <c r="E9162" s="4"/>
      <c r="F9162" s="4"/>
    </row>
    <row r="9163" spans="1:6" x14ac:dyDescent="0.4">
      <c r="A9163" s="4"/>
      <c r="B9163" s="4"/>
      <c r="D9163" s="4"/>
      <c r="E9163" s="4"/>
      <c r="F9163" s="4"/>
    </row>
    <row r="9164" spans="1:6" x14ac:dyDescent="0.4">
      <c r="A9164" s="4"/>
      <c r="B9164" s="4"/>
      <c r="D9164" s="4"/>
      <c r="E9164" s="4"/>
      <c r="F9164" s="4"/>
    </row>
    <row r="9165" spans="1:6" x14ac:dyDescent="0.4">
      <c r="A9165" s="4"/>
      <c r="B9165" s="4"/>
      <c r="D9165" s="4"/>
      <c r="E9165" s="4"/>
      <c r="F9165" s="4"/>
    </row>
    <row r="9166" spans="1:6" x14ac:dyDescent="0.4">
      <c r="A9166" s="4"/>
      <c r="B9166" s="4"/>
      <c r="D9166" s="4"/>
      <c r="E9166" s="4"/>
      <c r="F9166" s="4"/>
    </row>
    <row r="9167" spans="1:6" x14ac:dyDescent="0.4">
      <c r="A9167" s="4"/>
      <c r="B9167" s="4"/>
      <c r="D9167" s="4"/>
      <c r="E9167" s="4"/>
      <c r="F9167" s="4"/>
    </row>
    <row r="9168" spans="1:6" x14ac:dyDescent="0.4">
      <c r="A9168" s="4"/>
      <c r="B9168" s="4"/>
      <c r="D9168" s="4"/>
      <c r="E9168" s="4"/>
      <c r="F9168" s="4"/>
    </row>
    <row r="9169" spans="1:6" x14ac:dyDescent="0.4">
      <c r="A9169" s="4"/>
      <c r="B9169" s="4"/>
      <c r="D9169" s="4"/>
      <c r="E9169" s="4"/>
      <c r="F9169" s="4"/>
    </row>
    <row r="9170" spans="1:6" x14ac:dyDescent="0.4">
      <c r="A9170" s="4"/>
      <c r="B9170" s="4"/>
      <c r="D9170" s="4"/>
      <c r="E9170" s="4"/>
      <c r="F9170" s="4"/>
    </row>
    <row r="9171" spans="1:6" x14ac:dyDescent="0.4">
      <c r="A9171" s="4"/>
      <c r="B9171" s="4"/>
      <c r="D9171" s="4"/>
      <c r="E9171" s="4"/>
      <c r="F9171" s="4"/>
    </row>
    <row r="9172" spans="1:6" x14ac:dyDescent="0.4">
      <c r="A9172" s="4"/>
      <c r="B9172" s="4"/>
      <c r="D9172" s="4"/>
      <c r="E9172" s="4"/>
      <c r="F9172" s="4"/>
    </row>
    <row r="9173" spans="1:6" x14ac:dyDescent="0.4">
      <c r="A9173" s="4"/>
      <c r="B9173" s="4"/>
      <c r="D9173" s="4"/>
      <c r="E9173" s="4"/>
      <c r="F9173" s="4"/>
    </row>
    <row r="9174" spans="1:6" x14ac:dyDescent="0.4">
      <c r="A9174" s="4"/>
      <c r="B9174" s="4"/>
      <c r="D9174" s="4"/>
      <c r="E9174" s="4"/>
      <c r="F9174" s="4"/>
    </row>
    <row r="9175" spans="1:6" x14ac:dyDescent="0.4">
      <c r="A9175" s="4"/>
      <c r="B9175" s="4"/>
      <c r="D9175" s="4"/>
      <c r="E9175" s="4"/>
      <c r="F9175" s="4"/>
    </row>
    <row r="9176" spans="1:6" x14ac:dyDescent="0.4">
      <c r="A9176" s="4"/>
      <c r="B9176" s="4"/>
      <c r="D9176" s="4"/>
      <c r="E9176" s="4"/>
      <c r="F9176" s="4"/>
    </row>
    <row r="9177" spans="1:6" x14ac:dyDescent="0.4">
      <c r="A9177" s="4"/>
      <c r="B9177" s="4"/>
      <c r="D9177" s="4"/>
      <c r="E9177" s="4"/>
      <c r="F9177" s="4"/>
    </row>
    <row r="9178" spans="1:6" x14ac:dyDescent="0.4">
      <c r="A9178" s="4"/>
      <c r="B9178" s="4"/>
      <c r="D9178" s="4"/>
      <c r="E9178" s="4"/>
      <c r="F9178" s="4"/>
    </row>
    <row r="9179" spans="1:6" x14ac:dyDescent="0.4">
      <c r="A9179" s="4"/>
      <c r="B9179" s="4"/>
      <c r="D9179" s="4"/>
      <c r="E9179" s="4"/>
      <c r="F9179" s="4"/>
    </row>
    <row r="9180" spans="1:6" x14ac:dyDescent="0.4">
      <c r="A9180" s="4"/>
      <c r="B9180" s="4"/>
      <c r="D9180" s="4"/>
      <c r="E9180" s="4"/>
      <c r="F9180" s="4"/>
    </row>
    <row r="9181" spans="1:6" x14ac:dyDescent="0.4">
      <c r="A9181" s="4"/>
      <c r="B9181" s="4"/>
      <c r="D9181" s="4"/>
      <c r="E9181" s="4"/>
      <c r="F9181" s="4"/>
    </row>
    <row r="9182" spans="1:6" x14ac:dyDescent="0.4">
      <c r="A9182" s="4"/>
      <c r="B9182" s="4"/>
      <c r="D9182" s="4"/>
      <c r="E9182" s="4"/>
      <c r="F9182" s="4"/>
    </row>
    <row r="9183" spans="1:6" x14ac:dyDescent="0.4">
      <c r="A9183" s="4"/>
      <c r="B9183" s="4"/>
      <c r="D9183" s="4"/>
      <c r="E9183" s="4"/>
      <c r="F9183" s="4"/>
    </row>
    <row r="9184" spans="1:6" x14ac:dyDescent="0.4">
      <c r="A9184" s="4"/>
      <c r="B9184" s="4"/>
      <c r="D9184" s="4"/>
      <c r="E9184" s="4"/>
      <c r="F9184" s="4"/>
    </row>
    <row r="9185" spans="1:6" x14ac:dyDescent="0.4">
      <c r="A9185" s="4"/>
      <c r="B9185" s="4"/>
      <c r="D9185" s="4"/>
      <c r="E9185" s="4"/>
      <c r="F9185" s="4"/>
    </row>
    <row r="9186" spans="1:6" x14ac:dyDescent="0.4">
      <c r="A9186" s="4"/>
      <c r="B9186" s="4"/>
      <c r="D9186" s="4"/>
      <c r="E9186" s="4"/>
      <c r="F9186" s="4"/>
    </row>
    <row r="9187" spans="1:6" x14ac:dyDescent="0.4">
      <c r="A9187" s="4"/>
      <c r="B9187" s="4"/>
      <c r="D9187" s="4"/>
      <c r="E9187" s="4"/>
      <c r="F9187" s="4"/>
    </row>
    <row r="9188" spans="1:6" x14ac:dyDescent="0.4">
      <c r="A9188" s="4"/>
      <c r="B9188" s="4"/>
      <c r="D9188" s="4"/>
      <c r="E9188" s="4"/>
      <c r="F9188" s="4"/>
    </row>
    <row r="9189" spans="1:6" x14ac:dyDescent="0.4">
      <c r="A9189" s="4"/>
      <c r="B9189" s="4"/>
      <c r="D9189" s="4"/>
      <c r="E9189" s="4"/>
      <c r="F9189" s="4"/>
    </row>
    <row r="9190" spans="1:6" x14ac:dyDescent="0.4">
      <c r="A9190" s="4"/>
      <c r="B9190" s="4"/>
      <c r="D9190" s="4"/>
      <c r="E9190" s="4"/>
      <c r="F9190" s="4"/>
    </row>
    <row r="9191" spans="1:6" x14ac:dyDescent="0.4">
      <c r="A9191" s="4"/>
      <c r="B9191" s="4"/>
      <c r="D9191" s="4"/>
      <c r="E9191" s="4"/>
      <c r="F9191" s="4"/>
    </row>
    <row r="9192" spans="1:6" x14ac:dyDescent="0.4">
      <c r="A9192" s="4"/>
      <c r="B9192" s="4"/>
      <c r="D9192" s="4"/>
      <c r="E9192" s="4"/>
      <c r="F9192" s="4"/>
    </row>
    <row r="9193" spans="1:6" x14ac:dyDescent="0.4">
      <c r="A9193" s="4"/>
      <c r="B9193" s="4"/>
      <c r="D9193" s="4"/>
      <c r="E9193" s="4"/>
      <c r="F9193" s="4"/>
    </row>
    <row r="9194" spans="1:6" x14ac:dyDescent="0.4">
      <c r="A9194" s="4"/>
      <c r="B9194" s="4"/>
      <c r="D9194" s="4"/>
      <c r="E9194" s="4"/>
      <c r="F9194" s="4"/>
    </row>
    <row r="9195" spans="1:6" x14ac:dyDescent="0.4">
      <c r="A9195" s="4"/>
      <c r="B9195" s="4"/>
      <c r="D9195" s="4"/>
      <c r="E9195" s="4"/>
      <c r="F9195" s="4"/>
    </row>
    <row r="9196" spans="1:6" x14ac:dyDescent="0.4">
      <c r="A9196" s="4"/>
      <c r="B9196" s="4"/>
      <c r="D9196" s="4"/>
      <c r="E9196" s="4"/>
      <c r="F9196" s="4"/>
    </row>
    <row r="9197" spans="1:6" x14ac:dyDescent="0.4">
      <c r="A9197" s="4"/>
      <c r="B9197" s="4"/>
      <c r="D9197" s="4"/>
      <c r="E9197" s="4"/>
      <c r="F9197" s="4"/>
    </row>
    <row r="9198" spans="1:6" x14ac:dyDescent="0.4">
      <c r="A9198" s="4"/>
      <c r="B9198" s="4"/>
      <c r="D9198" s="4"/>
      <c r="E9198" s="4"/>
      <c r="F9198" s="4"/>
    </row>
    <row r="9199" spans="1:6" x14ac:dyDescent="0.4">
      <c r="A9199" s="4"/>
      <c r="B9199" s="4"/>
      <c r="D9199" s="4"/>
      <c r="E9199" s="4"/>
      <c r="F9199" s="4"/>
    </row>
    <row r="9200" spans="1:6" x14ac:dyDescent="0.4">
      <c r="A9200" s="4"/>
      <c r="B9200" s="4"/>
      <c r="D9200" s="4"/>
      <c r="E9200" s="4"/>
      <c r="F9200" s="4"/>
    </row>
    <row r="9201" spans="1:6" x14ac:dyDescent="0.4">
      <c r="A9201" s="4"/>
      <c r="B9201" s="4"/>
      <c r="D9201" s="4"/>
      <c r="E9201" s="4"/>
      <c r="F9201" s="4"/>
    </row>
    <row r="9202" spans="1:6" x14ac:dyDescent="0.4">
      <c r="A9202" s="4"/>
      <c r="B9202" s="4"/>
      <c r="D9202" s="4"/>
      <c r="E9202" s="4"/>
      <c r="F9202" s="4"/>
    </row>
    <row r="9203" spans="1:6" x14ac:dyDescent="0.4">
      <c r="A9203" s="4"/>
      <c r="B9203" s="4"/>
      <c r="D9203" s="4"/>
      <c r="E9203" s="4"/>
      <c r="F9203" s="4"/>
    </row>
    <row r="9204" spans="1:6" x14ac:dyDescent="0.4">
      <c r="A9204" s="4"/>
      <c r="B9204" s="4"/>
      <c r="D9204" s="4"/>
      <c r="E9204" s="4"/>
      <c r="F9204" s="4"/>
    </row>
    <row r="9205" spans="1:6" x14ac:dyDescent="0.4">
      <c r="A9205" s="4"/>
      <c r="B9205" s="4"/>
      <c r="D9205" s="4"/>
      <c r="E9205" s="4"/>
      <c r="F9205" s="4"/>
    </row>
    <row r="9206" spans="1:6" x14ac:dyDescent="0.4">
      <c r="A9206" s="4"/>
      <c r="B9206" s="4"/>
      <c r="D9206" s="4"/>
      <c r="E9206" s="4"/>
      <c r="F9206" s="4"/>
    </row>
    <row r="9207" spans="1:6" x14ac:dyDescent="0.4">
      <c r="A9207" s="4"/>
      <c r="B9207" s="4"/>
      <c r="D9207" s="4"/>
      <c r="E9207" s="4"/>
      <c r="F9207" s="4"/>
    </row>
    <row r="9208" spans="1:6" x14ac:dyDescent="0.4">
      <c r="A9208" s="4"/>
      <c r="B9208" s="4"/>
      <c r="D9208" s="4"/>
      <c r="E9208" s="4"/>
      <c r="F9208" s="4"/>
    </row>
    <row r="9209" spans="1:6" x14ac:dyDescent="0.4">
      <c r="A9209" s="4"/>
      <c r="B9209" s="4"/>
      <c r="D9209" s="4"/>
      <c r="E9209" s="4"/>
      <c r="F9209" s="4"/>
    </row>
    <row r="9210" spans="1:6" x14ac:dyDescent="0.4">
      <c r="A9210" s="4"/>
      <c r="B9210" s="4"/>
      <c r="D9210" s="4"/>
      <c r="E9210" s="4"/>
      <c r="F9210" s="4"/>
    </row>
    <row r="9211" spans="1:6" x14ac:dyDescent="0.4">
      <c r="A9211" s="4"/>
      <c r="B9211" s="4"/>
      <c r="D9211" s="4"/>
      <c r="E9211" s="4"/>
      <c r="F9211" s="4"/>
    </row>
    <row r="9212" spans="1:6" x14ac:dyDescent="0.4">
      <c r="A9212" s="4"/>
      <c r="B9212" s="4"/>
      <c r="D9212" s="4"/>
      <c r="E9212" s="4"/>
      <c r="F9212" s="4"/>
    </row>
    <row r="9213" spans="1:6" x14ac:dyDescent="0.4">
      <c r="A9213" s="4"/>
      <c r="B9213" s="4"/>
      <c r="D9213" s="4"/>
      <c r="E9213" s="4"/>
      <c r="F9213" s="4"/>
    </row>
    <row r="9214" spans="1:6" x14ac:dyDescent="0.4">
      <c r="A9214" s="4"/>
      <c r="B9214" s="4"/>
      <c r="D9214" s="4"/>
      <c r="E9214" s="4"/>
      <c r="F9214" s="4"/>
    </row>
    <row r="9215" spans="1:6" x14ac:dyDescent="0.4">
      <c r="A9215" s="4"/>
      <c r="B9215" s="4"/>
      <c r="D9215" s="4"/>
      <c r="E9215" s="4"/>
      <c r="F9215" s="4"/>
    </row>
    <row r="9216" spans="1:6" x14ac:dyDescent="0.4">
      <c r="A9216" s="4"/>
      <c r="B9216" s="4"/>
      <c r="D9216" s="4"/>
      <c r="E9216" s="4"/>
      <c r="F9216" s="4"/>
    </row>
    <row r="9217" spans="1:6" x14ac:dyDescent="0.4">
      <c r="A9217" s="4"/>
      <c r="B9217" s="4"/>
      <c r="D9217" s="4"/>
      <c r="E9217" s="4"/>
      <c r="F9217" s="4"/>
    </row>
    <row r="9218" spans="1:6" x14ac:dyDescent="0.4">
      <c r="A9218" s="4"/>
      <c r="B9218" s="4"/>
      <c r="D9218" s="4"/>
      <c r="E9218" s="4"/>
      <c r="F9218" s="4"/>
    </row>
    <row r="9219" spans="1:6" x14ac:dyDescent="0.4">
      <c r="A9219" s="4"/>
      <c r="B9219" s="4"/>
      <c r="D9219" s="4"/>
      <c r="E9219" s="4"/>
      <c r="F9219" s="4"/>
    </row>
    <row r="9220" spans="1:6" x14ac:dyDescent="0.4">
      <c r="A9220" s="4"/>
      <c r="B9220" s="4"/>
      <c r="D9220" s="4"/>
      <c r="E9220" s="4"/>
      <c r="F9220" s="4"/>
    </row>
    <row r="9221" spans="1:6" x14ac:dyDescent="0.4">
      <c r="A9221" s="4"/>
      <c r="B9221" s="4"/>
      <c r="D9221" s="4"/>
      <c r="E9221" s="4"/>
      <c r="F9221" s="4"/>
    </row>
    <row r="9222" spans="1:6" x14ac:dyDescent="0.4">
      <c r="A9222" s="4"/>
      <c r="B9222" s="4"/>
      <c r="D9222" s="4"/>
      <c r="E9222" s="4"/>
      <c r="F9222" s="4"/>
    </row>
    <row r="9223" spans="1:6" x14ac:dyDescent="0.4">
      <c r="A9223" s="4"/>
      <c r="B9223" s="4"/>
      <c r="D9223" s="4"/>
      <c r="E9223" s="4"/>
      <c r="F9223" s="4"/>
    </row>
    <row r="9224" spans="1:6" x14ac:dyDescent="0.4">
      <c r="A9224" s="4"/>
      <c r="B9224" s="4"/>
      <c r="D9224" s="4"/>
      <c r="E9224" s="4"/>
      <c r="F9224" s="4"/>
    </row>
    <row r="9225" spans="1:6" x14ac:dyDescent="0.4">
      <c r="A9225" s="4"/>
      <c r="B9225" s="4"/>
      <c r="D9225" s="4"/>
      <c r="E9225" s="4"/>
      <c r="F9225" s="4"/>
    </row>
    <row r="9226" spans="1:6" x14ac:dyDescent="0.4">
      <c r="A9226" s="4"/>
      <c r="B9226" s="4"/>
      <c r="D9226" s="4"/>
      <c r="E9226" s="4"/>
      <c r="F9226" s="4"/>
    </row>
    <row r="9227" spans="1:6" x14ac:dyDescent="0.4">
      <c r="A9227" s="4"/>
      <c r="B9227" s="4"/>
      <c r="D9227" s="4"/>
      <c r="E9227" s="4"/>
      <c r="F9227" s="4"/>
    </row>
    <row r="9228" spans="1:6" x14ac:dyDescent="0.4">
      <c r="A9228" s="4"/>
      <c r="B9228" s="4"/>
      <c r="D9228" s="4"/>
      <c r="E9228" s="4"/>
      <c r="F9228" s="4"/>
    </row>
    <row r="9229" spans="1:6" x14ac:dyDescent="0.4">
      <c r="A9229" s="4"/>
      <c r="B9229" s="4"/>
      <c r="D9229" s="4"/>
      <c r="E9229" s="4"/>
      <c r="F9229" s="4"/>
    </row>
    <row r="9230" spans="1:6" x14ac:dyDescent="0.4">
      <c r="A9230" s="4"/>
      <c r="B9230" s="4"/>
      <c r="D9230" s="4"/>
      <c r="E9230" s="4"/>
      <c r="F9230" s="4"/>
    </row>
    <row r="9231" spans="1:6" x14ac:dyDescent="0.4">
      <c r="A9231" s="4"/>
      <c r="B9231" s="4"/>
      <c r="D9231" s="4"/>
      <c r="E9231" s="4"/>
      <c r="F9231" s="4"/>
    </row>
    <row r="9232" spans="1:6" x14ac:dyDescent="0.4">
      <c r="A9232" s="4"/>
      <c r="B9232" s="4"/>
      <c r="D9232" s="4"/>
      <c r="E9232" s="4"/>
      <c r="F9232" s="4"/>
    </row>
    <row r="9233" spans="1:6" x14ac:dyDescent="0.4">
      <c r="A9233" s="4"/>
      <c r="B9233" s="4"/>
      <c r="D9233" s="4"/>
      <c r="E9233" s="4"/>
      <c r="F9233" s="4"/>
    </row>
    <row r="9234" spans="1:6" x14ac:dyDescent="0.4">
      <c r="A9234" s="4"/>
      <c r="B9234" s="4"/>
      <c r="D9234" s="4"/>
      <c r="E9234" s="4"/>
      <c r="F9234" s="4"/>
    </row>
    <row r="9235" spans="1:6" x14ac:dyDescent="0.4">
      <c r="A9235" s="4"/>
      <c r="B9235" s="4"/>
      <c r="D9235" s="4"/>
      <c r="E9235" s="4"/>
      <c r="F9235" s="4"/>
    </row>
    <row r="9236" spans="1:6" x14ac:dyDescent="0.4">
      <c r="A9236" s="4"/>
      <c r="B9236" s="4"/>
      <c r="D9236" s="4"/>
      <c r="E9236" s="4"/>
      <c r="F9236" s="4"/>
    </row>
    <row r="9237" spans="1:6" x14ac:dyDescent="0.4">
      <c r="A9237" s="4"/>
      <c r="B9237" s="4"/>
      <c r="D9237" s="4"/>
      <c r="E9237" s="4"/>
      <c r="F9237" s="4"/>
    </row>
    <row r="9238" spans="1:6" x14ac:dyDescent="0.4">
      <c r="A9238" s="4"/>
      <c r="B9238" s="4"/>
      <c r="D9238" s="4"/>
      <c r="E9238" s="4"/>
      <c r="F9238" s="4"/>
    </row>
    <row r="9239" spans="1:6" x14ac:dyDescent="0.4">
      <c r="A9239" s="4"/>
      <c r="B9239" s="4"/>
      <c r="D9239" s="4"/>
      <c r="E9239" s="4"/>
      <c r="F9239" s="4"/>
    </row>
    <row r="9240" spans="1:6" x14ac:dyDescent="0.4">
      <c r="A9240" s="4"/>
      <c r="B9240" s="4"/>
      <c r="D9240" s="4"/>
      <c r="E9240" s="4"/>
      <c r="F9240" s="4"/>
    </row>
    <row r="9241" spans="1:6" x14ac:dyDescent="0.4">
      <c r="A9241" s="4"/>
      <c r="B9241" s="4"/>
      <c r="D9241" s="4"/>
      <c r="E9241" s="4"/>
      <c r="F9241" s="4"/>
    </row>
    <row r="9242" spans="1:6" x14ac:dyDescent="0.4">
      <c r="A9242" s="4"/>
      <c r="B9242" s="4"/>
      <c r="D9242" s="4"/>
      <c r="E9242" s="4"/>
      <c r="F9242" s="4"/>
    </row>
    <row r="9243" spans="1:6" x14ac:dyDescent="0.4">
      <c r="A9243" s="4"/>
      <c r="B9243" s="4"/>
      <c r="D9243" s="4"/>
      <c r="E9243" s="4"/>
      <c r="F9243" s="4"/>
    </row>
    <row r="9244" spans="1:6" x14ac:dyDescent="0.4">
      <c r="A9244" s="4"/>
      <c r="B9244" s="4"/>
      <c r="D9244" s="4"/>
      <c r="E9244" s="4"/>
      <c r="F9244" s="4"/>
    </row>
    <row r="9245" spans="1:6" x14ac:dyDescent="0.4">
      <c r="A9245" s="4"/>
      <c r="B9245" s="4"/>
      <c r="D9245" s="4"/>
      <c r="E9245" s="4"/>
      <c r="F9245" s="4"/>
    </row>
    <row r="9246" spans="1:6" x14ac:dyDescent="0.4">
      <c r="A9246" s="4"/>
      <c r="B9246" s="4"/>
      <c r="D9246" s="4"/>
      <c r="E9246" s="4"/>
      <c r="F9246" s="4"/>
    </row>
    <row r="9247" spans="1:6" x14ac:dyDescent="0.4">
      <c r="A9247" s="4"/>
      <c r="B9247" s="4"/>
      <c r="D9247" s="4"/>
      <c r="E9247" s="4"/>
      <c r="F9247" s="4"/>
    </row>
    <row r="9248" spans="1:6" x14ac:dyDescent="0.4">
      <c r="A9248" s="4"/>
      <c r="B9248" s="4"/>
      <c r="D9248" s="4"/>
      <c r="E9248" s="4"/>
      <c r="F9248" s="4"/>
    </row>
    <row r="9249" spans="1:6" x14ac:dyDescent="0.4">
      <c r="A9249" s="4"/>
      <c r="B9249" s="4"/>
      <c r="D9249" s="4"/>
      <c r="E9249" s="4"/>
      <c r="F9249" s="4"/>
    </row>
    <row r="9250" spans="1:6" x14ac:dyDescent="0.4">
      <c r="A9250" s="4"/>
      <c r="B9250" s="4"/>
      <c r="D9250" s="4"/>
      <c r="E9250" s="4"/>
      <c r="F9250" s="4"/>
    </row>
    <row r="9251" spans="1:6" x14ac:dyDescent="0.4">
      <c r="A9251" s="4"/>
      <c r="B9251" s="4"/>
      <c r="D9251" s="4"/>
      <c r="E9251" s="4"/>
      <c r="F9251" s="4"/>
    </row>
    <row r="9252" spans="1:6" x14ac:dyDescent="0.4">
      <c r="A9252" s="4"/>
      <c r="B9252" s="4"/>
      <c r="D9252" s="4"/>
      <c r="E9252" s="4"/>
      <c r="F9252" s="4"/>
    </row>
    <row r="9253" spans="1:6" x14ac:dyDescent="0.4">
      <c r="A9253" s="4"/>
      <c r="B9253" s="4"/>
      <c r="D9253" s="4"/>
      <c r="E9253" s="4"/>
      <c r="F9253" s="4"/>
    </row>
    <row r="9254" spans="1:6" x14ac:dyDescent="0.4">
      <c r="A9254" s="4"/>
      <c r="B9254" s="4"/>
      <c r="D9254" s="4"/>
      <c r="E9254" s="4"/>
      <c r="F9254" s="4"/>
    </row>
    <row r="9255" spans="1:6" x14ac:dyDescent="0.4">
      <c r="A9255" s="4"/>
      <c r="B9255" s="4"/>
      <c r="D9255" s="4"/>
      <c r="E9255" s="4"/>
      <c r="F9255" s="4"/>
    </row>
    <row r="9256" spans="1:6" x14ac:dyDescent="0.4">
      <c r="A9256" s="4"/>
      <c r="B9256" s="4"/>
      <c r="D9256" s="4"/>
      <c r="E9256" s="4"/>
      <c r="F9256" s="4"/>
    </row>
    <row r="9257" spans="1:6" x14ac:dyDescent="0.4">
      <c r="A9257" s="4"/>
      <c r="B9257" s="4"/>
      <c r="D9257" s="4"/>
      <c r="E9257" s="4"/>
      <c r="F9257" s="4"/>
    </row>
    <row r="9258" spans="1:6" x14ac:dyDescent="0.4">
      <c r="A9258" s="4"/>
      <c r="B9258" s="4"/>
      <c r="D9258" s="4"/>
      <c r="E9258" s="4"/>
      <c r="F9258" s="4"/>
    </row>
    <row r="9259" spans="1:6" x14ac:dyDescent="0.4">
      <c r="A9259" s="4"/>
      <c r="B9259" s="4"/>
      <c r="D9259" s="4"/>
      <c r="E9259" s="4"/>
      <c r="F9259" s="4"/>
    </row>
    <row r="9260" spans="1:6" x14ac:dyDescent="0.4">
      <c r="A9260" s="4"/>
      <c r="B9260" s="4"/>
      <c r="D9260" s="4"/>
      <c r="E9260" s="4"/>
      <c r="F9260" s="4"/>
    </row>
    <row r="9261" spans="1:6" x14ac:dyDescent="0.4">
      <c r="A9261" s="4"/>
      <c r="B9261" s="4"/>
      <c r="D9261" s="4"/>
      <c r="E9261" s="4"/>
      <c r="F9261" s="4"/>
    </row>
    <row r="9262" spans="1:6" x14ac:dyDescent="0.4">
      <c r="A9262" s="4"/>
      <c r="B9262" s="4"/>
      <c r="D9262" s="4"/>
      <c r="E9262" s="4"/>
      <c r="F9262" s="4"/>
    </row>
    <row r="9263" spans="1:6" x14ac:dyDescent="0.4">
      <c r="A9263" s="4"/>
      <c r="B9263" s="4"/>
      <c r="D9263" s="4"/>
      <c r="E9263" s="4"/>
      <c r="F9263" s="4"/>
    </row>
    <row r="9264" spans="1:6" x14ac:dyDescent="0.4">
      <c r="A9264" s="4"/>
      <c r="B9264" s="4"/>
      <c r="D9264" s="4"/>
      <c r="E9264" s="4"/>
      <c r="F9264" s="4"/>
    </row>
    <row r="9265" spans="1:6" x14ac:dyDescent="0.4">
      <c r="A9265" s="4"/>
      <c r="B9265" s="4"/>
      <c r="D9265" s="4"/>
      <c r="E9265" s="4"/>
      <c r="F9265" s="4"/>
    </row>
    <row r="9266" spans="1:6" x14ac:dyDescent="0.4">
      <c r="A9266" s="4"/>
      <c r="B9266" s="4"/>
      <c r="D9266" s="4"/>
      <c r="E9266" s="4"/>
      <c r="F9266" s="4"/>
    </row>
    <row r="9267" spans="1:6" x14ac:dyDescent="0.4">
      <c r="A9267" s="4"/>
      <c r="B9267" s="4"/>
      <c r="D9267" s="4"/>
      <c r="E9267" s="4"/>
      <c r="F9267" s="4"/>
    </row>
    <row r="9268" spans="1:6" x14ac:dyDescent="0.4">
      <c r="A9268" s="4"/>
      <c r="B9268" s="4"/>
      <c r="D9268" s="4"/>
      <c r="E9268" s="4"/>
      <c r="F9268" s="4"/>
    </row>
    <row r="9269" spans="1:6" x14ac:dyDescent="0.4">
      <c r="A9269" s="4"/>
      <c r="B9269" s="4"/>
      <c r="D9269" s="4"/>
      <c r="E9269" s="4"/>
      <c r="F9269" s="4"/>
    </row>
    <row r="9270" spans="1:6" x14ac:dyDescent="0.4">
      <c r="A9270" s="4"/>
      <c r="B9270" s="4"/>
      <c r="D9270" s="4"/>
      <c r="E9270" s="4"/>
      <c r="F9270" s="4"/>
    </row>
    <row r="9271" spans="1:6" x14ac:dyDescent="0.4">
      <c r="A9271" s="4"/>
      <c r="B9271" s="4"/>
      <c r="D9271" s="4"/>
      <c r="E9271" s="4"/>
      <c r="F9271" s="4"/>
    </row>
    <row r="9272" spans="1:6" x14ac:dyDescent="0.4">
      <c r="A9272" s="4"/>
      <c r="B9272" s="4"/>
      <c r="D9272" s="4"/>
      <c r="E9272" s="4"/>
      <c r="F9272" s="4"/>
    </row>
    <row r="9273" spans="1:6" x14ac:dyDescent="0.4">
      <c r="A9273" s="4"/>
      <c r="B9273" s="4"/>
      <c r="D9273" s="4"/>
      <c r="E9273" s="4"/>
      <c r="F9273" s="4"/>
    </row>
    <row r="9274" spans="1:6" x14ac:dyDescent="0.4">
      <c r="A9274" s="4"/>
      <c r="B9274" s="4"/>
      <c r="D9274" s="4"/>
      <c r="E9274" s="4"/>
      <c r="F9274" s="4"/>
    </row>
    <row r="9275" spans="1:6" x14ac:dyDescent="0.4">
      <c r="A9275" s="4"/>
      <c r="B9275" s="4"/>
      <c r="D9275" s="4"/>
      <c r="E9275" s="4"/>
      <c r="F9275" s="4"/>
    </row>
    <row r="9276" spans="1:6" x14ac:dyDescent="0.4">
      <c r="A9276" s="4"/>
      <c r="B9276" s="4"/>
      <c r="D9276" s="4"/>
      <c r="E9276" s="4"/>
      <c r="F9276" s="4"/>
    </row>
    <row r="9277" spans="1:6" x14ac:dyDescent="0.4">
      <c r="A9277" s="4"/>
      <c r="B9277" s="4"/>
      <c r="D9277" s="4"/>
      <c r="E9277" s="4"/>
      <c r="F9277" s="4"/>
    </row>
    <row r="9278" spans="1:6" x14ac:dyDescent="0.4">
      <c r="A9278" s="4"/>
      <c r="B9278" s="4"/>
      <c r="D9278" s="4"/>
      <c r="E9278" s="4"/>
      <c r="F9278" s="4"/>
    </row>
    <row r="9279" spans="1:6" x14ac:dyDescent="0.4">
      <c r="A9279" s="4"/>
      <c r="B9279" s="4"/>
      <c r="D9279" s="4"/>
      <c r="E9279" s="4"/>
      <c r="F9279" s="4"/>
    </row>
    <row r="9280" spans="1:6" x14ac:dyDescent="0.4">
      <c r="A9280" s="4"/>
      <c r="B9280" s="4"/>
      <c r="D9280" s="4"/>
      <c r="E9280" s="4"/>
      <c r="F9280" s="4"/>
    </row>
    <row r="9281" spans="1:6" x14ac:dyDescent="0.4">
      <c r="A9281" s="4"/>
      <c r="B9281" s="4"/>
      <c r="D9281" s="4"/>
      <c r="E9281" s="4"/>
      <c r="F9281" s="4"/>
    </row>
    <row r="9282" spans="1:6" x14ac:dyDescent="0.4">
      <c r="A9282" s="4"/>
      <c r="B9282" s="4"/>
      <c r="D9282" s="4"/>
      <c r="E9282" s="4"/>
      <c r="F9282" s="4"/>
    </row>
    <row r="9283" spans="1:6" x14ac:dyDescent="0.4">
      <c r="A9283" s="4"/>
      <c r="B9283" s="4"/>
      <c r="D9283" s="4"/>
      <c r="E9283" s="4"/>
      <c r="F9283" s="4"/>
    </row>
    <row r="9284" spans="1:6" x14ac:dyDescent="0.4">
      <c r="A9284" s="4"/>
      <c r="B9284" s="4"/>
      <c r="D9284" s="4"/>
      <c r="E9284" s="4"/>
      <c r="F9284" s="4"/>
    </row>
    <row r="9285" spans="1:6" x14ac:dyDescent="0.4">
      <c r="A9285" s="4"/>
      <c r="B9285" s="4"/>
      <c r="D9285" s="4"/>
      <c r="E9285" s="4"/>
      <c r="F9285" s="4"/>
    </row>
    <row r="9286" spans="1:6" x14ac:dyDescent="0.4">
      <c r="A9286" s="4"/>
      <c r="B9286" s="4"/>
      <c r="D9286" s="4"/>
      <c r="E9286" s="4"/>
      <c r="F9286" s="4"/>
    </row>
    <row r="9287" spans="1:6" x14ac:dyDescent="0.4">
      <c r="A9287" s="4"/>
      <c r="B9287" s="4"/>
      <c r="D9287" s="4"/>
      <c r="E9287" s="4"/>
      <c r="F9287" s="4"/>
    </row>
    <row r="9288" spans="1:6" x14ac:dyDescent="0.4">
      <c r="A9288" s="4"/>
      <c r="B9288" s="4"/>
      <c r="D9288" s="4"/>
      <c r="E9288" s="4"/>
      <c r="F9288" s="4"/>
    </row>
    <row r="9289" spans="1:6" x14ac:dyDescent="0.4">
      <c r="A9289" s="4"/>
      <c r="B9289" s="4"/>
      <c r="D9289" s="4"/>
      <c r="E9289" s="4"/>
      <c r="F9289" s="4"/>
    </row>
    <row r="9290" spans="1:6" x14ac:dyDescent="0.4">
      <c r="A9290" s="4"/>
      <c r="B9290" s="4"/>
      <c r="D9290" s="4"/>
      <c r="E9290" s="4"/>
      <c r="F9290" s="4"/>
    </row>
    <row r="9291" spans="1:6" x14ac:dyDescent="0.4">
      <c r="A9291" s="4"/>
      <c r="B9291" s="4"/>
      <c r="D9291" s="4"/>
      <c r="E9291" s="4"/>
      <c r="F9291" s="4"/>
    </row>
    <row r="9292" spans="1:6" x14ac:dyDescent="0.4">
      <c r="A9292" s="4"/>
      <c r="B9292" s="4"/>
      <c r="D9292" s="4"/>
      <c r="E9292" s="4"/>
      <c r="F9292" s="4"/>
    </row>
    <row r="9293" spans="1:6" x14ac:dyDescent="0.4">
      <c r="A9293" s="4"/>
      <c r="B9293" s="4"/>
      <c r="D9293" s="4"/>
      <c r="E9293" s="4"/>
      <c r="F9293" s="4"/>
    </row>
    <row r="9294" spans="1:6" x14ac:dyDescent="0.4">
      <c r="A9294" s="4"/>
      <c r="B9294" s="4"/>
      <c r="D9294" s="4"/>
      <c r="E9294" s="4"/>
      <c r="F9294" s="4"/>
    </row>
    <row r="9295" spans="1:6" x14ac:dyDescent="0.4">
      <c r="A9295" s="4"/>
      <c r="B9295" s="4"/>
      <c r="D9295" s="4"/>
      <c r="E9295" s="4"/>
      <c r="F9295" s="4"/>
    </row>
    <row r="9296" spans="1:6" x14ac:dyDescent="0.4">
      <c r="A9296" s="4"/>
      <c r="B9296" s="4"/>
      <c r="D9296" s="4"/>
      <c r="E9296" s="4"/>
      <c r="F9296" s="4"/>
    </row>
    <row r="9297" spans="1:6" x14ac:dyDescent="0.4">
      <c r="A9297" s="4"/>
      <c r="B9297" s="4"/>
      <c r="D9297" s="4"/>
      <c r="E9297" s="4"/>
      <c r="F9297" s="4"/>
    </row>
    <row r="9298" spans="1:6" x14ac:dyDescent="0.4">
      <c r="A9298" s="4"/>
      <c r="B9298" s="4"/>
      <c r="D9298" s="4"/>
      <c r="E9298" s="4"/>
      <c r="F9298" s="4"/>
    </row>
    <row r="9299" spans="1:6" x14ac:dyDescent="0.4">
      <c r="A9299" s="4"/>
      <c r="B9299" s="4"/>
      <c r="D9299" s="4"/>
      <c r="E9299" s="4"/>
      <c r="F9299" s="4"/>
    </row>
    <row r="9300" spans="1:6" x14ac:dyDescent="0.4">
      <c r="A9300" s="4"/>
      <c r="B9300" s="4"/>
      <c r="D9300" s="4"/>
      <c r="E9300" s="4"/>
      <c r="F9300" s="4"/>
    </row>
    <row r="9301" spans="1:6" x14ac:dyDescent="0.4">
      <c r="A9301" s="4"/>
      <c r="B9301" s="4"/>
      <c r="D9301" s="4"/>
      <c r="E9301" s="4"/>
      <c r="F9301" s="4"/>
    </row>
    <row r="9302" spans="1:6" x14ac:dyDescent="0.4">
      <c r="A9302" s="4"/>
      <c r="B9302" s="4"/>
      <c r="D9302" s="4"/>
      <c r="E9302" s="4"/>
      <c r="F9302" s="4"/>
    </row>
    <row r="9303" spans="1:6" x14ac:dyDescent="0.4">
      <c r="A9303" s="4"/>
      <c r="B9303" s="4"/>
      <c r="D9303" s="4"/>
      <c r="E9303" s="4"/>
      <c r="F9303" s="4"/>
    </row>
    <row r="9304" spans="1:6" x14ac:dyDescent="0.4">
      <c r="A9304" s="4"/>
      <c r="B9304" s="4"/>
      <c r="D9304" s="4"/>
      <c r="E9304" s="4"/>
      <c r="F9304" s="4"/>
    </row>
    <row r="9305" spans="1:6" x14ac:dyDescent="0.4">
      <c r="A9305" s="4"/>
      <c r="B9305" s="4"/>
      <c r="D9305" s="4"/>
      <c r="E9305" s="4"/>
      <c r="F9305" s="4"/>
    </row>
    <row r="9306" spans="1:6" x14ac:dyDescent="0.4">
      <c r="A9306" s="4"/>
      <c r="B9306" s="4"/>
      <c r="D9306" s="4"/>
      <c r="E9306" s="4"/>
      <c r="F9306" s="4"/>
    </row>
    <row r="9307" spans="1:6" x14ac:dyDescent="0.4">
      <c r="A9307" s="4"/>
      <c r="B9307" s="4"/>
      <c r="D9307" s="4"/>
      <c r="E9307" s="4"/>
      <c r="F9307" s="4"/>
    </row>
    <row r="9308" spans="1:6" x14ac:dyDescent="0.4">
      <c r="A9308" s="4"/>
      <c r="B9308" s="4"/>
      <c r="D9308" s="4"/>
      <c r="E9308" s="4"/>
      <c r="F9308" s="4"/>
    </row>
    <row r="9309" spans="1:6" x14ac:dyDescent="0.4">
      <c r="A9309" s="4"/>
      <c r="B9309" s="4"/>
      <c r="D9309" s="4"/>
      <c r="E9309" s="4"/>
      <c r="F9309" s="4"/>
    </row>
    <row r="9310" spans="1:6" x14ac:dyDescent="0.4">
      <c r="A9310" s="4"/>
      <c r="B9310" s="4"/>
      <c r="D9310" s="4"/>
      <c r="E9310" s="4"/>
      <c r="F9310" s="4"/>
    </row>
    <row r="9311" spans="1:6" x14ac:dyDescent="0.4">
      <c r="A9311" s="4"/>
      <c r="B9311" s="4"/>
      <c r="D9311" s="4"/>
      <c r="E9311" s="4"/>
      <c r="F9311" s="4"/>
    </row>
    <row r="9312" spans="1:6" x14ac:dyDescent="0.4">
      <c r="A9312" s="4"/>
      <c r="B9312" s="4"/>
      <c r="D9312" s="4"/>
      <c r="E9312" s="4"/>
      <c r="F9312" s="4"/>
    </row>
    <row r="9313" spans="1:6" x14ac:dyDescent="0.4">
      <c r="A9313" s="4"/>
      <c r="B9313" s="4"/>
      <c r="D9313" s="4"/>
      <c r="E9313" s="4"/>
      <c r="F9313" s="4"/>
    </row>
    <row r="9314" spans="1:6" x14ac:dyDescent="0.4">
      <c r="A9314" s="4"/>
      <c r="B9314" s="4"/>
      <c r="D9314" s="4"/>
      <c r="E9314" s="4"/>
      <c r="F9314" s="4"/>
    </row>
    <row r="9315" spans="1:6" x14ac:dyDescent="0.4">
      <c r="A9315" s="4"/>
      <c r="B9315" s="4"/>
      <c r="D9315" s="4"/>
      <c r="E9315" s="4"/>
      <c r="F9315" s="4"/>
    </row>
    <row r="9316" spans="1:6" x14ac:dyDescent="0.4">
      <c r="A9316" s="4"/>
      <c r="B9316" s="4"/>
      <c r="D9316" s="4"/>
      <c r="E9316" s="4"/>
      <c r="F9316" s="4"/>
    </row>
    <row r="9317" spans="1:6" x14ac:dyDescent="0.4">
      <c r="A9317" s="4"/>
      <c r="B9317" s="4"/>
      <c r="D9317" s="4"/>
      <c r="E9317" s="4"/>
      <c r="F9317" s="4"/>
    </row>
    <row r="9318" spans="1:6" x14ac:dyDescent="0.4">
      <c r="A9318" s="4"/>
      <c r="B9318" s="4"/>
      <c r="D9318" s="4"/>
      <c r="E9318" s="4"/>
      <c r="F9318" s="4"/>
    </row>
    <row r="9319" spans="1:6" x14ac:dyDescent="0.4">
      <c r="A9319" s="4"/>
      <c r="B9319" s="4"/>
      <c r="D9319" s="4"/>
      <c r="E9319" s="4"/>
      <c r="F9319" s="4"/>
    </row>
    <row r="9320" spans="1:6" x14ac:dyDescent="0.4">
      <c r="A9320" s="4"/>
      <c r="B9320" s="4"/>
      <c r="D9320" s="4"/>
      <c r="E9320" s="4"/>
      <c r="F9320" s="4"/>
    </row>
    <row r="9321" spans="1:6" x14ac:dyDescent="0.4">
      <c r="A9321" s="4"/>
      <c r="B9321" s="4"/>
      <c r="D9321" s="4"/>
      <c r="E9321" s="4"/>
      <c r="F9321" s="4"/>
    </row>
    <row r="9322" spans="1:6" x14ac:dyDescent="0.4">
      <c r="A9322" s="4"/>
      <c r="B9322" s="4"/>
      <c r="D9322" s="4"/>
      <c r="E9322" s="4"/>
      <c r="F9322" s="4"/>
    </row>
    <row r="9323" spans="1:6" x14ac:dyDescent="0.4">
      <c r="A9323" s="4"/>
      <c r="B9323" s="4"/>
      <c r="D9323" s="4"/>
      <c r="E9323" s="4"/>
      <c r="F9323" s="4"/>
    </row>
    <row r="9324" spans="1:6" x14ac:dyDescent="0.4">
      <c r="A9324" s="4"/>
      <c r="B9324" s="4"/>
      <c r="D9324" s="4"/>
      <c r="E9324" s="4"/>
      <c r="F9324" s="4"/>
    </row>
    <row r="9325" spans="1:6" x14ac:dyDescent="0.4">
      <c r="A9325" s="4"/>
      <c r="B9325" s="4"/>
      <c r="D9325" s="4"/>
      <c r="E9325" s="4"/>
      <c r="F9325" s="4"/>
    </row>
    <row r="9326" spans="1:6" x14ac:dyDescent="0.4">
      <c r="A9326" s="4"/>
      <c r="B9326" s="4"/>
      <c r="D9326" s="4"/>
      <c r="E9326" s="4"/>
      <c r="F9326" s="4"/>
    </row>
    <row r="9327" spans="1:6" x14ac:dyDescent="0.4">
      <c r="A9327" s="4"/>
      <c r="B9327" s="4"/>
      <c r="D9327" s="4"/>
      <c r="E9327" s="4"/>
      <c r="F9327" s="4"/>
    </row>
    <row r="9328" spans="1:6" x14ac:dyDescent="0.4">
      <c r="A9328" s="4"/>
      <c r="B9328" s="4"/>
      <c r="D9328" s="4"/>
      <c r="E9328" s="4"/>
      <c r="F9328" s="4"/>
    </row>
    <row r="9329" spans="1:6" x14ac:dyDescent="0.4">
      <c r="A9329" s="4"/>
      <c r="B9329" s="4"/>
      <c r="D9329" s="4"/>
      <c r="E9329" s="4"/>
      <c r="F9329" s="4"/>
    </row>
    <row r="9330" spans="1:6" x14ac:dyDescent="0.4">
      <c r="A9330" s="4"/>
      <c r="B9330" s="4"/>
      <c r="D9330" s="4"/>
      <c r="E9330" s="4"/>
      <c r="F9330" s="4"/>
    </row>
    <row r="9331" spans="1:6" x14ac:dyDescent="0.4">
      <c r="A9331" s="4"/>
      <c r="B9331" s="4"/>
      <c r="D9331" s="4"/>
      <c r="E9331" s="4"/>
      <c r="F9331" s="4"/>
    </row>
    <row r="9332" spans="1:6" x14ac:dyDescent="0.4">
      <c r="A9332" s="4"/>
      <c r="B9332" s="4"/>
      <c r="D9332" s="4"/>
      <c r="E9332" s="4"/>
      <c r="F9332" s="4"/>
    </row>
    <row r="9333" spans="1:6" x14ac:dyDescent="0.4">
      <c r="A9333" s="4"/>
      <c r="B9333" s="4"/>
      <c r="D9333" s="4"/>
      <c r="E9333" s="4"/>
      <c r="F9333" s="4"/>
    </row>
    <row r="9334" spans="1:6" x14ac:dyDescent="0.4">
      <c r="A9334" s="4"/>
      <c r="B9334" s="4"/>
      <c r="D9334" s="4"/>
      <c r="E9334" s="4"/>
      <c r="F9334" s="4"/>
    </row>
    <row r="9335" spans="1:6" x14ac:dyDescent="0.4">
      <c r="A9335" s="4"/>
      <c r="B9335" s="4"/>
      <c r="D9335" s="4"/>
      <c r="E9335" s="4"/>
      <c r="F9335" s="4"/>
    </row>
    <row r="9336" spans="1:6" x14ac:dyDescent="0.4">
      <c r="A9336" s="4"/>
      <c r="B9336" s="4"/>
      <c r="D9336" s="4"/>
      <c r="E9336" s="4"/>
      <c r="F9336" s="4"/>
    </row>
    <row r="9337" spans="1:6" x14ac:dyDescent="0.4">
      <c r="A9337" s="4"/>
      <c r="B9337" s="4"/>
      <c r="D9337" s="4"/>
      <c r="E9337" s="4"/>
      <c r="F9337" s="4"/>
    </row>
    <row r="9338" spans="1:6" x14ac:dyDescent="0.4">
      <c r="A9338" s="4"/>
      <c r="B9338" s="4"/>
      <c r="D9338" s="4"/>
      <c r="E9338" s="4"/>
      <c r="F9338" s="4"/>
    </row>
    <row r="9339" spans="1:6" x14ac:dyDescent="0.4">
      <c r="A9339" s="4"/>
      <c r="B9339" s="4"/>
      <c r="D9339" s="4"/>
      <c r="E9339" s="4"/>
      <c r="F9339" s="4"/>
    </row>
    <row r="9340" spans="1:6" x14ac:dyDescent="0.4">
      <c r="A9340" s="4"/>
      <c r="B9340" s="4"/>
      <c r="D9340" s="4"/>
      <c r="E9340" s="4"/>
      <c r="F9340" s="4"/>
    </row>
    <row r="9341" spans="1:6" x14ac:dyDescent="0.4">
      <c r="A9341" s="4"/>
      <c r="B9341" s="4"/>
      <c r="D9341" s="4"/>
      <c r="E9341" s="4"/>
      <c r="F9341" s="4"/>
    </row>
    <row r="9342" spans="1:6" x14ac:dyDescent="0.4">
      <c r="A9342" s="4"/>
      <c r="B9342" s="4"/>
      <c r="D9342" s="4"/>
      <c r="E9342" s="4"/>
      <c r="F9342" s="4"/>
    </row>
    <row r="9343" spans="1:6" x14ac:dyDescent="0.4">
      <c r="A9343" s="4"/>
      <c r="B9343" s="4"/>
      <c r="D9343" s="4"/>
      <c r="E9343" s="4"/>
      <c r="F9343" s="4"/>
    </row>
    <row r="9344" spans="1:6" x14ac:dyDescent="0.4">
      <c r="A9344" s="4"/>
      <c r="B9344" s="4"/>
      <c r="D9344" s="4"/>
      <c r="E9344" s="4"/>
      <c r="F9344" s="4"/>
    </row>
    <row r="9345" spans="1:6" x14ac:dyDescent="0.4">
      <c r="A9345" s="4"/>
      <c r="B9345" s="4"/>
      <c r="D9345" s="4"/>
      <c r="E9345" s="4"/>
      <c r="F9345" s="4"/>
    </row>
    <row r="9346" spans="1:6" x14ac:dyDescent="0.4">
      <c r="A9346" s="4"/>
      <c r="B9346" s="4"/>
      <c r="D9346" s="4"/>
      <c r="E9346" s="4"/>
      <c r="F9346" s="4"/>
    </row>
    <row r="9347" spans="1:6" x14ac:dyDescent="0.4">
      <c r="A9347" s="4"/>
      <c r="B9347" s="4"/>
      <c r="D9347" s="4"/>
      <c r="E9347" s="4"/>
      <c r="F9347" s="4"/>
    </row>
    <row r="9348" spans="1:6" x14ac:dyDescent="0.4">
      <c r="A9348" s="4"/>
      <c r="B9348" s="4"/>
      <c r="D9348" s="4"/>
      <c r="E9348" s="4"/>
      <c r="F9348" s="4"/>
    </row>
    <row r="9349" spans="1:6" x14ac:dyDescent="0.4">
      <c r="A9349" s="4"/>
      <c r="B9349" s="4"/>
      <c r="D9349" s="4"/>
      <c r="E9349" s="4"/>
      <c r="F9349" s="4"/>
    </row>
    <row r="9350" spans="1:6" x14ac:dyDescent="0.4">
      <c r="A9350" s="4"/>
      <c r="B9350" s="4"/>
      <c r="D9350" s="4"/>
      <c r="E9350" s="4"/>
      <c r="F9350" s="4"/>
    </row>
    <row r="9351" spans="1:6" x14ac:dyDescent="0.4">
      <c r="A9351" s="4"/>
      <c r="B9351" s="4"/>
      <c r="D9351" s="4"/>
      <c r="E9351" s="4"/>
      <c r="F9351" s="4"/>
    </row>
    <row r="9352" spans="1:6" x14ac:dyDescent="0.4">
      <c r="A9352" s="4"/>
      <c r="B9352" s="4"/>
      <c r="D9352" s="4"/>
      <c r="E9352" s="4"/>
      <c r="F9352" s="4"/>
    </row>
    <row r="9353" spans="1:6" x14ac:dyDescent="0.4">
      <c r="A9353" s="4"/>
      <c r="B9353" s="4"/>
      <c r="D9353" s="4"/>
      <c r="E9353" s="4"/>
      <c r="F9353" s="4"/>
    </row>
    <row r="9354" spans="1:6" x14ac:dyDescent="0.4">
      <c r="A9354" s="4"/>
      <c r="B9354" s="4"/>
      <c r="D9354" s="4"/>
      <c r="E9354" s="4"/>
      <c r="F9354" s="4"/>
    </row>
    <row r="9355" spans="1:6" x14ac:dyDescent="0.4">
      <c r="A9355" s="4"/>
      <c r="B9355" s="4"/>
      <c r="D9355" s="4"/>
      <c r="E9355" s="4"/>
      <c r="F9355" s="4"/>
    </row>
    <row r="9356" spans="1:6" x14ac:dyDescent="0.4">
      <c r="A9356" s="4"/>
      <c r="B9356" s="4"/>
      <c r="D9356" s="4"/>
      <c r="E9356" s="4"/>
      <c r="F9356" s="4"/>
    </row>
    <row r="9357" spans="1:6" x14ac:dyDescent="0.4">
      <c r="A9357" s="4"/>
      <c r="B9357" s="4"/>
      <c r="D9357" s="4"/>
      <c r="E9357" s="4"/>
      <c r="F9357" s="4"/>
    </row>
    <row r="9358" spans="1:6" x14ac:dyDescent="0.4">
      <c r="A9358" s="4"/>
      <c r="B9358" s="4"/>
      <c r="D9358" s="4"/>
      <c r="E9358" s="4"/>
      <c r="F9358" s="4"/>
    </row>
    <row r="9359" spans="1:6" x14ac:dyDescent="0.4">
      <c r="A9359" s="4"/>
      <c r="B9359" s="4"/>
      <c r="D9359" s="4"/>
      <c r="E9359" s="4"/>
      <c r="F9359" s="4"/>
    </row>
    <row r="9360" spans="1:6" x14ac:dyDescent="0.4">
      <c r="A9360" s="4"/>
      <c r="B9360" s="4"/>
      <c r="D9360" s="4"/>
      <c r="E9360" s="4"/>
      <c r="F9360" s="4"/>
    </row>
    <row r="9361" spans="1:6" x14ac:dyDescent="0.4">
      <c r="A9361" s="4"/>
      <c r="B9361" s="4"/>
      <c r="D9361" s="4"/>
      <c r="E9361" s="4"/>
      <c r="F9361" s="4"/>
    </row>
    <row r="9362" spans="1:6" x14ac:dyDescent="0.4">
      <c r="A9362" s="4"/>
      <c r="B9362" s="4"/>
      <c r="D9362" s="4"/>
      <c r="E9362" s="4"/>
      <c r="F9362" s="4"/>
    </row>
    <row r="9363" spans="1:6" x14ac:dyDescent="0.4">
      <c r="A9363" s="4"/>
      <c r="B9363" s="4"/>
      <c r="D9363" s="4"/>
      <c r="E9363" s="4"/>
      <c r="F9363" s="4"/>
    </row>
    <row r="9364" spans="1:6" x14ac:dyDescent="0.4">
      <c r="A9364" s="4"/>
      <c r="B9364" s="4"/>
      <c r="D9364" s="4"/>
      <c r="E9364" s="4"/>
      <c r="F9364" s="4"/>
    </row>
    <row r="9365" spans="1:6" x14ac:dyDescent="0.4">
      <c r="A9365" s="4"/>
      <c r="B9365" s="4"/>
      <c r="D9365" s="4"/>
      <c r="E9365" s="4"/>
      <c r="F9365" s="4"/>
    </row>
    <row r="9366" spans="1:6" x14ac:dyDescent="0.4">
      <c r="A9366" s="4"/>
      <c r="B9366" s="4"/>
      <c r="D9366" s="4"/>
      <c r="E9366" s="4"/>
      <c r="F9366" s="4"/>
    </row>
    <row r="9367" spans="1:6" x14ac:dyDescent="0.4">
      <c r="A9367" s="4"/>
      <c r="B9367" s="4"/>
      <c r="D9367" s="4"/>
      <c r="E9367" s="4"/>
      <c r="F9367" s="4"/>
    </row>
    <row r="9368" spans="1:6" x14ac:dyDescent="0.4">
      <c r="A9368" s="4"/>
      <c r="B9368" s="4"/>
      <c r="D9368" s="4"/>
      <c r="E9368" s="4"/>
      <c r="F9368" s="4"/>
    </row>
    <row r="9369" spans="1:6" x14ac:dyDescent="0.4">
      <c r="A9369" s="4"/>
      <c r="B9369" s="4"/>
      <c r="D9369" s="4"/>
      <c r="E9369" s="4"/>
      <c r="F9369" s="4"/>
    </row>
    <row r="9370" spans="1:6" x14ac:dyDescent="0.4">
      <c r="A9370" s="4"/>
      <c r="B9370" s="4"/>
      <c r="D9370" s="4"/>
      <c r="E9370" s="4"/>
      <c r="F9370" s="4"/>
    </row>
    <row r="9371" spans="1:6" x14ac:dyDescent="0.4">
      <c r="A9371" s="4"/>
      <c r="B9371" s="4"/>
      <c r="D9371" s="4"/>
      <c r="E9371" s="4"/>
      <c r="F9371" s="4"/>
    </row>
    <row r="9372" spans="1:6" x14ac:dyDescent="0.4">
      <c r="A9372" s="4"/>
      <c r="B9372" s="4"/>
      <c r="D9372" s="4"/>
      <c r="E9372" s="4"/>
      <c r="F9372" s="4"/>
    </row>
    <row r="9373" spans="1:6" x14ac:dyDescent="0.4">
      <c r="A9373" s="4"/>
      <c r="B9373" s="4"/>
      <c r="D9373" s="4"/>
      <c r="E9373" s="4"/>
      <c r="F9373" s="4"/>
    </row>
    <row r="9374" spans="1:6" x14ac:dyDescent="0.4">
      <c r="A9374" s="4"/>
      <c r="B9374" s="4"/>
      <c r="D9374" s="4"/>
      <c r="E9374" s="4"/>
      <c r="F9374" s="4"/>
    </row>
    <row r="9375" spans="1:6" x14ac:dyDescent="0.4">
      <c r="A9375" s="4"/>
      <c r="B9375" s="4"/>
      <c r="D9375" s="4"/>
      <c r="E9375" s="4"/>
      <c r="F9375" s="4"/>
    </row>
    <row r="9376" spans="1:6" x14ac:dyDescent="0.4">
      <c r="A9376" s="4"/>
      <c r="B9376" s="4"/>
      <c r="D9376" s="4"/>
      <c r="E9376" s="4"/>
      <c r="F9376" s="4"/>
    </row>
    <row r="9377" spans="1:6" x14ac:dyDescent="0.4">
      <c r="A9377" s="4"/>
      <c r="B9377" s="4"/>
      <c r="D9377" s="4"/>
      <c r="E9377" s="4"/>
      <c r="F9377" s="4"/>
    </row>
    <row r="9378" spans="1:6" x14ac:dyDescent="0.4">
      <c r="A9378" s="4"/>
      <c r="B9378" s="4"/>
      <c r="D9378" s="4"/>
      <c r="E9378" s="4"/>
      <c r="F9378" s="4"/>
    </row>
    <row r="9379" spans="1:6" x14ac:dyDescent="0.4">
      <c r="A9379" s="4"/>
      <c r="B9379" s="4"/>
      <c r="D9379" s="4"/>
      <c r="E9379" s="4"/>
      <c r="F9379" s="4"/>
    </row>
    <row r="9380" spans="1:6" x14ac:dyDescent="0.4">
      <c r="A9380" s="4"/>
      <c r="B9380" s="4"/>
      <c r="D9380" s="4"/>
      <c r="E9380" s="4"/>
      <c r="F9380" s="4"/>
    </row>
    <row r="9381" spans="1:6" x14ac:dyDescent="0.4">
      <c r="A9381" s="4"/>
      <c r="B9381" s="4"/>
      <c r="D9381" s="4"/>
      <c r="E9381" s="4"/>
      <c r="F9381" s="4"/>
    </row>
    <row r="9382" spans="1:6" x14ac:dyDescent="0.4">
      <c r="A9382" s="4"/>
      <c r="B9382" s="4"/>
      <c r="D9382" s="4"/>
      <c r="E9382" s="4"/>
      <c r="F9382" s="4"/>
    </row>
    <row r="9383" spans="1:6" x14ac:dyDescent="0.4">
      <c r="A9383" s="4"/>
      <c r="B9383" s="4"/>
      <c r="D9383" s="4"/>
      <c r="E9383" s="4"/>
      <c r="F9383" s="4"/>
    </row>
    <row r="9384" spans="1:6" x14ac:dyDescent="0.4">
      <c r="A9384" s="4"/>
      <c r="B9384" s="4"/>
      <c r="D9384" s="4"/>
      <c r="E9384" s="4"/>
      <c r="F9384" s="4"/>
    </row>
    <row r="9385" spans="1:6" x14ac:dyDescent="0.4">
      <c r="A9385" s="4"/>
      <c r="B9385" s="4"/>
      <c r="D9385" s="4"/>
      <c r="E9385" s="4"/>
      <c r="F9385" s="4"/>
    </row>
    <row r="9386" spans="1:6" x14ac:dyDescent="0.4">
      <c r="A9386" s="4"/>
      <c r="B9386" s="4"/>
      <c r="D9386" s="4"/>
      <c r="E9386" s="4"/>
      <c r="F9386" s="4"/>
    </row>
    <row r="9387" spans="1:6" x14ac:dyDescent="0.4">
      <c r="A9387" s="4"/>
      <c r="B9387" s="4"/>
      <c r="D9387" s="4"/>
      <c r="E9387" s="4"/>
      <c r="F9387" s="4"/>
    </row>
    <row r="9388" spans="1:6" x14ac:dyDescent="0.4">
      <c r="A9388" s="4"/>
      <c r="B9388" s="4"/>
      <c r="D9388" s="4"/>
      <c r="E9388" s="4"/>
      <c r="F9388" s="4"/>
    </row>
    <row r="9389" spans="1:6" x14ac:dyDescent="0.4">
      <c r="A9389" s="4"/>
      <c r="B9389" s="4"/>
      <c r="D9389" s="4"/>
      <c r="E9389" s="4"/>
      <c r="F9389" s="4"/>
    </row>
    <row r="9390" spans="1:6" x14ac:dyDescent="0.4">
      <c r="A9390" s="4"/>
      <c r="B9390" s="4"/>
      <c r="D9390" s="4"/>
      <c r="E9390" s="4"/>
      <c r="F9390" s="4"/>
    </row>
    <row r="9391" spans="1:6" x14ac:dyDescent="0.4">
      <c r="A9391" s="4"/>
      <c r="B9391" s="4"/>
      <c r="D9391" s="4"/>
      <c r="E9391" s="4"/>
      <c r="F9391" s="4"/>
    </row>
    <row r="9392" spans="1:6" x14ac:dyDescent="0.4">
      <c r="A9392" s="4"/>
      <c r="B9392" s="4"/>
      <c r="D9392" s="4"/>
      <c r="E9392" s="4"/>
      <c r="F9392" s="4"/>
    </row>
    <row r="9393" spans="1:6" x14ac:dyDescent="0.4">
      <c r="A9393" s="4"/>
      <c r="B9393" s="4"/>
      <c r="D9393" s="4"/>
      <c r="E9393" s="4"/>
      <c r="F9393" s="4"/>
    </row>
    <row r="9394" spans="1:6" x14ac:dyDescent="0.4">
      <c r="A9394" s="4"/>
      <c r="B9394" s="4"/>
      <c r="D9394" s="4"/>
      <c r="E9394" s="4"/>
      <c r="F9394" s="4"/>
    </row>
    <row r="9395" spans="1:6" x14ac:dyDescent="0.4">
      <c r="A9395" s="4"/>
      <c r="B9395" s="4"/>
      <c r="D9395" s="4"/>
      <c r="E9395" s="4"/>
      <c r="F9395" s="4"/>
    </row>
    <row r="9396" spans="1:6" x14ac:dyDescent="0.4">
      <c r="A9396" s="4"/>
      <c r="B9396" s="4"/>
      <c r="D9396" s="4"/>
      <c r="E9396" s="4"/>
      <c r="F9396" s="4"/>
    </row>
    <row r="9397" spans="1:6" x14ac:dyDescent="0.4">
      <c r="A9397" s="4"/>
      <c r="B9397" s="4"/>
      <c r="D9397" s="4"/>
      <c r="E9397" s="4"/>
      <c r="F9397" s="4"/>
    </row>
    <row r="9398" spans="1:6" x14ac:dyDescent="0.4">
      <c r="A9398" s="4"/>
      <c r="B9398" s="4"/>
      <c r="D9398" s="4"/>
      <c r="E9398" s="4"/>
      <c r="F9398" s="4"/>
    </row>
    <row r="9399" spans="1:6" x14ac:dyDescent="0.4">
      <c r="A9399" s="4"/>
      <c r="B9399" s="4"/>
      <c r="D9399" s="4"/>
      <c r="E9399" s="4"/>
      <c r="F9399" s="4"/>
    </row>
    <row r="9400" spans="1:6" x14ac:dyDescent="0.4">
      <c r="A9400" s="4"/>
      <c r="B9400" s="4"/>
      <c r="D9400" s="4"/>
      <c r="E9400" s="4"/>
      <c r="F9400" s="4"/>
    </row>
    <row r="9401" spans="1:6" x14ac:dyDescent="0.4">
      <c r="A9401" s="4"/>
      <c r="B9401" s="4"/>
      <c r="D9401" s="4"/>
      <c r="E9401" s="4"/>
      <c r="F9401" s="4"/>
    </row>
    <row r="9402" spans="1:6" x14ac:dyDescent="0.4">
      <c r="A9402" s="4"/>
      <c r="B9402" s="4"/>
      <c r="D9402" s="4"/>
      <c r="E9402" s="4"/>
      <c r="F9402" s="4"/>
    </row>
    <row r="9403" spans="1:6" x14ac:dyDescent="0.4">
      <c r="A9403" s="4"/>
      <c r="B9403" s="4"/>
      <c r="D9403" s="4"/>
      <c r="E9403" s="4"/>
      <c r="F9403" s="4"/>
    </row>
    <row r="9404" spans="1:6" x14ac:dyDescent="0.4">
      <c r="A9404" s="4"/>
      <c r="B9404" s="4"/>
      <c r="D9404" s="4"/>
      <c r="E9404" s="4"/>
      <c r="F9404" s="4"/>
    </row>
    <row r="9405" spans="1:6" x14ac:dyDescent="0.4">
      <c r="A9405" s="4"/>
      <c r="B9405" s="4"/>
      <c r="D9405" s="4"/>
      <c r="E9405" s="4"/>
      <c r="F9405" s="4"/>
    </row>
    <row r="9406" spans="1:6" x14ac:dyDescent="0.4">
      <c r="A9406" s="4"/>
      <c r="B9406" s="4"/>
      <c r="D9406" s="4"/>
      <c r="E9406" s="4"/>
      <c r="F9406" s="4"/>
    </row>
    <row r="9407" spans="1:6" x14ac:dyDescent="0.4">
      <c r="A9407" s="4"/>
      <c r="B9407" s="4"/>
      <c r="D9407" s="4"/>
      <c r="E9407" s="4"/>
      <c r="F9407" s="4"/>
    </row>
    <row r="9408" spans="1:6" x14ac:dyDescent="0.4">
      <c r="A9408" s="4"/>
      <c r="B9408" s="4"/>
      <c r="D9408" s="4"/>
      <c r="E9408" s="4"/>
      <c r="F9408" s="4"/>
    </row>
    <row r="9409" spans="1:6" x14ac:dyDescent="0.4">
      <c r="A9409" s="4"/>
      <c r="B9409" s="4"/>
      <c r="D9409" s="4"/>
      <c r="E9409" s="4"/>
      <c r="F9409" s="4"/>
    </row>
    <row r="9410" spans="1:6" x14ac:dyDescent="0.4">
      <c r="A9410" s="4"/>
      <c r="B9410" s="4"/>
      <c r="D9410" s="4"/>
      <c r="E9410" s="4"/>
      <c r="F9410" s="4"/>
    </row>
    <row r="9411" spans="1:6" x14ac:dyDescent="0.4">
      <c r="A9411" s="4"/>
      <c r="B9411" s="4"/>
      <c r="D9411" s="4"/>
      <c r="E9411" s="4"/>
      <c r="F9411" s="4"/>
    </row>
    <row r="9412" spans="1:6" x14ac:dyDescent="0.4">
      <c r="A9412" s="4"/>
      <c r="B9412" s="4"/>
      <c r="D9412" s="4"/>
      <c r="E9412" s="4"/>
      <c r="F9412" s="4"/>
    </row>
    <row r="9413" spans="1:6" x14ac:dyDescent="0.4">
      <c r="A9413" s="4"/>
      <c r="B9413" s="4"/>
      <c r="D9413" s="4"/>
      <c r="E9413" s="4"/>
      <c r="F9413" s="4"/>
    </row>
    <row r="9414" spans="1:6" x14ac:dyDescent="0.4">
      <c r="A9414" s="4"/>
      <c r="B9414" s="4"/>
      <c r="D9414" s="4"/>
      <c r="E9414" s="4"/>
      <c r="F9414" s="4"/>
    </row>
    <row r="9415" spans="1:6" x14ac:dyDescent="0.4">
      <c r="A9415" s="4"/>
      <c r="B9415" s="4"/>
      <c r="D9415" s="4"/>
      <c r="E9415" s="4"/>
      <c r="F9415" s="4"/>
    </row>
    <row r="9416" spans="1:6" x14ac:dyDescent="0.4">
      <c r="A9416" s="4"/>
      <c r="B9416" s="4"/>
      <c r="D9416" s="4"/>
      <c r="E9416" s="4"/>
      <c r="F9416" s="4"/>
    </row>
    <row r="9417" spans="1:6" x14ac:dyDescent="0.4">
      <c r="A9417" s="4"/>
      <c r="B9417" s="4"/>
      <c r="D9417" s="4"/>
      <c r="E9417" s="4"/>
      <c r="F9417" s="4"/>
    </row>
    <row r="9418" spans="1:6" x14ac:dyDescent="0.4">
      <c r="A9418" s="4"/>
      <c r="B9418" s="4"/>
      <c r="D9418" s="4"/>
      <c r="E9418" s="4"/>
      <c r="F9418" s="4"/>
    </row>
    <row r="9419" spans="1:6" x14ac:dyDescent="0.4">
      <c r="A9419" s="4"/>
      <c r="B9419" s="4"/>
      <c r="D9419" s="4"/>
      <c r="E9419" s="4"/>
      <c r="F9419" s="4"/>
    </row>
    <row r="9420" spans="1:6" x14ac:dyDescent="0.4">
      <c r="A9420" s="4"/>
      <c r="B9420" s="4"/>
      <c r="D9420" s="4"/>
      <c r="E9420" s="4"/>
      <c r="F9420" s="4"/>
    </row>
    <row r="9421" spans="1:6" x14ac:dyDescent="0.4">
      <c r="A9421" s="4"/>
      <c r="B9421" s="4"/>
      <c r="D9421" s="4"/>
      <c r="E9421" s="4"/>
      <c r="F9421" s="4"/>
    </row>
    <row r="9422" spans="1:6" x14ac:dyDescent="0.4">
      <c r="A9422" s="4"/>
      <c r="B9422" s="4"/>
      <c r="D9422" s="4"/>
      <c r="E9422" s="4"/>
      <c r="F9422" s="4"/>
    </row>
    <row r="9423" spans="1:6" x14ac:dyDescent="0.4">
      <c r="A9423" s="4"/>
      <c r="B9423" s="4"/>
      <c r="D9423" s="4"/>
      <c r="E9423" s="4"/>
      <c r="F9423" s="4"/>
    </row>
    <row r="9424" spans="1:6" x14ac:dyDescent="0.4">
      <c r="A9424" s="4"/>
      <c r="B9424" s="4"/>
      <c r="D9424" s="4"/>
      <c r="E9424" s="4"/>
      <c r="F9424" s="4"/>
    </row>
    <row r="9425" spans="1:6" x14ac:dyDescent="0.4">
      <c r="A9425" s="4"/>
      <c r="B9425" s="4"/>
      <c r="D9425" s="4"/>
      <c r="E9425" s="4"/>
      <c r="F9425" s="4"/>
    </row>
    <row r="9426" spans="1:6" x14ac:dyDescent="0.4">
      <c r="A9426" s="4"/>
      <c r="B9426" s="4"/>
      <c r="D9426" s="4"/>
      <c r="E9426" s="4"/>
      <c r="F9426" s="4"/>
    </row>
    <row r="9427" spans="1:6" x14ac:dyDescent="0.4">
      <c r="A9427" s="4"/>
      <c r="B9427" s="4"/>
      <c r="D9427" s="4"/>
      <c r="E9427" s="4"/>
      <c r="F9427" s="4"/>
    </row>
    <row r="9428" spans="1:6" x14ac:dyDescent="0.4">
      <c r="A9428" s="4"/>
      <c r="B9428" s="4"/>
      <c r="D9428" s="4"/>
      <c r="E9428" s="4"/>
      <c r="F9428" s="4"/>
    </row>
    <row r="9429" spans="1:6" x14ac:dyDescent="0.4">
      <c r="A9429" s="4"/>
      <c r="B9429" s="4"/>
      <c r="D9429" s="4"/>
      <c r="E9429" s="4"/>
      <c r="F9429" s="4"/>
    </row>
    <row r="9430" spans="1:6" x14ac:dyDescent="0.4">
      <c r="A9430" s="4"/>
      <c r="B9430" s="4"/>
      <c r="D9430" s="4"/>
      <c r="E9430" s="4"/>
      <c r="F9430" s="4"/>
    </row>
    <row r="9431" spans="1:6" x14ac:dyDescent="0.4">
      <c r="A9431" s="4"/>
      <c r="B9431" s="4"/>
      <c r="D9431" s="4"/>
      <c r="E9431" s="4"/>
      <c r="F9431" s="4"/>
    </row>
    <row r="9432" spans="1:6" x14ac:dyDescent="0.4">
      <c r="A9432" s="4"/>
      <c r="B9432" s="4"/>
      <c r="D9432" s="4"/>
      <c r="E9432" s="4"/>
      <c r="F9432" s="4"/>
    </row>
    <row r="9433" spans="1:6" x14ac:dyDescent="0.4">
      <c r="A9433" s="4"/>
      <c r="B9433" s="4"/>
      <c r="D9433" s="4"/>
      <c r="E9433" s="4"/>
      <c r="F9433" s="4"/>
    </row>
    <row r="9434" spans="1:6" x14ac:dyDescent="0.4">
      <c r="A9434" s="4"/>
      <c r="B9434" s="4"/>
      <c r="D9434" s="4"/>
      <c r="E9434" s="4"/>
      <c r="F9434" s="4"/>
    </row>
    <row r="9435" spans="1:6" x14ac:dyDescent="0.4">
      <c r="A9435" s="4"/>
      <c r="B9435" s="4"/>
      <c r="D9435" s="4"/>
      <c r="E9435" s="4"/>
      <c r="F9435" s="4"/>
    </row>
    <row r="9436" spans="1:6" x14ac:dyDescent="0.4">
      <c r="A9436" s="4"/>
      <c r="B9436" s="4"/>
      <c r="D9436" s="4"/>
      <c r="E9436" s="4"/>
      <c r="F9436" s="4"/>
    </row>
    <row r="9437" spans="1:6" x14ac:dyDescent="0.4">
      <c r="A9437" s="4"/>
      <c r="B9437" s="4"/>
      <c r="D9437" s="4"/>
      <c r="E9437" s="4"/>
      <c r="F9437" s="4"/>
    </row>
    <row r="9438" spans="1:6" x14ac:dyDescent="0.4">
      <c r="A9438" s="4"/>
      <c r="B9438" s="4"/>
      <c r="D9438" s="4"/>
      <c r="E9438" s="4"/>
      <c r="F9438" s="4"/>
    </row>
    <row r="9439" spans="1:6" x14ac:dyDescent="0.4">
      <c r="A9439" s="4"/>
      <c r="B9439" s="4"/>
      <c r="D9439" s="4"/>
      <c r="E9439" s="4"/>
      <c r="F9439" s="4"/>
    </row>
    <row r="9440" spans="1:6" x14ac:dyDescent="0.4">
      <c r="A9440" s="4"/>
      <c r="B9440" s="4"/>
      <c r="D9440" s="4"/>
      <c r="E9440" s="4"/>
      <c r="F9440" s="4"/>
    </row>
    <row r="9441" spans="1:6" x14ac:dyDescent="0.4">
      <c r="A9441" s="4"/>
      <c r="B9441" s="4"/>
      <c r="D9441" s="4"/>
      <c r="E9441" s="4"/>
      <c r="F9441" s="4"/>
    </row>
    <row r="9442" spans="1:6" x14ac:dyDescent="0.4">
      <c r="A9442" s="4"/>
      <c r="B9442" s="4"/>
      <c r="D9442" s="4"/>
      <c r="E9442" s="4"/>
      <c r="F9442" s="4"/>
    </row>
    <row r="9443" spans="1:6" x14ac:dyDescent="0.4">
      <c r="A9443" s="4"/>
      <c r="B9443" s="4"/>
      <c r="D9443" s="4"/>
      <c r="E9443" s="4"/>
      <c r="F9443" s="4"/>
    </row>
    <row r="9444" spans="1:6" x14ac:dyDescent="0.4">
      <c r="A9444" s="4"/>
      <c r="B9444" s="4"/>
      <c r="D9444" s="4"/>
      <c r="E9444" s="4"/>
      <c r="F9444" s="4"/>
    </row>
    <row r="9445" spans="1:6" x14ac:dyDescent="0.4">
      <c r="A9445" s="4"/>
      <c r="B9445" s="4"/>
      <c r="D9445" s="4"/>
      <c r="E9445" s="4"/>
      <c r="F9445" s="4"/>
    </row>
    <row r="9446" spans="1:6" x14ac:dyDescent="0.4">
      <c r="A9446" s="4"/>
      <c r="B9446" s="4"/>
      <c r="D9446" s="4"/>
      <c r="E9446" s="4"/>
      <c r="F9446" s="4"/>
    </row>
    <row r="9447" spans="1:6" x14ac:dyDescent="0.4">
      <c r="A9447" s="4"/>
      <c r="B9447" s="4"/>
      <c r="D9447" s="4"/>
      <c r="E9447" s="4"/>
      <c r="F9447" s="4"/>
    </row>
    <row r="9448" spans="1:6" x14ac:dyDescent="0.4">
      <c r="A9448" s="4"/>
      <c r="B9448" s="4"/>
      <c r="D9448" s="4"/>
      <c r="E9448" s="4"/>
      <c r="F9448" s="4"/>
    </row>
    <row r="9449" spans="1:6" x14ac:dyDescent="0.4">
      <c r="A9449" s="4"/>
      <c r="B9449" s="4"/>
      <c r="D9449" s="4"/>
      <c r="E9449" s="4"/>
      <c r="F9449" s="4"/>
    </row>
    <row r="9450" spans="1:6" x14ac:dyDescent="0.4">
      <c r="A9450" s="4"/>
      <c r="B9450" s="4"/>
      <c r="D9450" s="4"/>
      <c r="E9450" s="4"/>
      <c r="F9450" s="4"/>
    </row>
    <row r="9451" spans="1:6" x14ac:dyDescent="0.4">
      <c r="A9451" s="4"/>
      <c r="B9451" s="4"/>
      <c r="D9451" s="4"/>
      <c r="E9451" s="4"/>
      <c r="F9451" s="4"/>
    </row>
    <row r="9452" spans="1:6" x14ac:dyDescent="0.4">
      <c r="A9452" s="4"/>
      <c r="B9452" s="4"/>
      <c r="D9452" s="4"/>
      <c r="E9452" s="4"/>
      <c r="F9452" s="4"/>
    </row>
    <row r="9453" spans="1:6" x14ac:dyDescent="0.4">
      <c r="A9453" s="4"/>
      <c r="B9453" s="4"/>
      <c r="D9453" s="4"/>
      <c r="E9453" s="4"/>
      <c r="F9453" s="4"/>
    </row>
    <row r="9454" spans="1:6" x14ac:dyDescent="0.4">
      <c r="A9454" s="4"/>
      <c r="B9454" s="4"/>
      <c r="D9454" s="4"/>
      <c r="E9454" s="4"/>
      <c r="F9454" s="4"/>
    </row>
    <row r="9455" spans="1:6" x14ac:dyDescent="0.4">
      <c r="A9455" s="4"/>
      <c r="B9455" s="4"/>
      <c r="D9455" s="4"/>
      <c r="E9455" s="4"/>
      <c r="F9455" s="4"/>
    </row>
    <row r="9456" spans="1:6" x14ac:dyDescent="0.4">
      <c r="A9456" s="4"/>
      <c r="B9456" s="4"/>
      <c r="D9456" s="4"/>
      <c r="E9456" s="4"/>
      <c r="F9456" s="4"/>
    </row>
    <row r="9457" spans="1:6" x14ac:dyDescent="0.4">
      <c r="A9457" s="4"/>
      <c r="B9457" s="4"/>
      <c r="D9457" s="4"/>
      <c r="E9457" s="4"/>
      <c r="F9457" s="4"/>
    </row>
    <row r="9458" spans="1:6" x14ac:dyDescent="0.4">
      <c r="A9458" s="4"/>
      <c r="B9458" s="4"/>
      <c r="D9458" s="4"/>
      <c r="E9458" s="4"/>
      <c r="F9458" s="4"/>
    </row>
    <row r="9459" spans="1:6" x14ac:dyDescent="0.4">
      <c r="A9459" s="4"/>
      <c r="B9459" s="4"/>
      <c r="D9459" s="4"/>
      <c r="E9459" s="4"/>
      <c r="F9459" s="4"/>
    </row>
    <row r="9460" spans="1:6" x14ac:dyDescent="0.4">
      <c r="A9460" s="4"/>
      <c r="B9460" s="4"/>
      <c r="D9460" s="4"/>
      <c r="E9460" s="4"/>
      <c r="F9460" s="4"/>
    </row>
    <row r="9461" spans="1:6" x14ac:dyDescent="0.4">
      <c r="A9461" s="4"/>
      <c r="B9461" s="4"/>
      <c r="D9461" s="4"/>
      <c r="E9461" s="4"/>
      <c r="F9461" s="4"/>
    </row>
    <row r="9462" spans="1:6" x14ac:dyDescent="0.4">
      <c r="A9462" s="4"/>
      <c r="B9462" s="4"/>
      <c r="D9462" s="4"/>
      <c r="E9462" s="4"/>
      <c r="F9462" s="4"/>
    </row>
    <row r="9463" spans="1:6" x14ac:dyDescent="0.4">
      <c r="A9463" s="4"/>
      <c r="B9463" s="4"/>
      <c r="D9463" s="4"/>
      <c r="E9463" s="4"/>
      <c r="F9463" s="4"/>
    </row>
    <row r="9464" spans="1:6" x14ac:dyDescent="0.4">
      <c r="A9464" s="4"/>
      <c r="B9464" s="4"/>
      <c r="D9464" s="4"/>
      <c r="E9464" s="4"/>
      <c r="F9464" s="4"/>
    </row>
    <row r="9465" spans="1:6" x14ac:dyDescent="0.4">
      <c r="A9465" s="4"/>
      <c r="B9465" s="4"/>
      <c r="D9465" s="4"/>
      <c r="E9465" s="4"/>
      <c r="F9465" s="4"/>
    </row>
    <row r="9466" spans="1:6" x14ac:dyDescent="0.4">
      <c r="A9466" s="4"/>
      <c r="B9466" s="4"/>
      <c r="D9466" s="4"/>
      <c r="E9466" s="4"/>
      <c r="F9466" s="4"/>
    </row>
    <row r="9467" spans="1:6" x14ac:dyDescent="0.4">
      <c r="A9467" s="4"/>
      <c r="B9467" s="4"/>
      <c r="D9467" s="4"/>
      <c r="E9467" s="4"/>
      <c r="F9467" s="4"/>
    </row>
    <row r="9468" spans="1:6" x14ac:dyDescent="0.4">
      <c r="A9468" s="4"/>
      <c r="B9468" s="4"/>
      <c r="D9468" s="4"/>
      <c r="E9468" s="4"/>
      <c r="F9468" s="4"/>
    </row>
    <row r="9469" spans="1:6" x14ac:dyDescent="0.4">
      <c r="A9469" s="4"/>
      <c r="B9469" s="4"/>
      <c r="D9469" s="4"/>
      <c r="E9469" s="4"/>
      <c r="F9469" s="4"/>
    </row>
    <row r="9470" spans="1:6" x14ac:dyDescent="0.4">
      <c r="A9470" s="4"/>
      <c r="B9470" s="4"/>
      <c r="D9470" s="4"/>
      <c r="E9470" s="4"/>
      <c r="F9470" s="4"/>
    </row>
    <row r="9471" spans="1:6" x14ac:dyDescent="0.4">
      <c r="A9471" s="4"/>
      <c r="B9471" s="4"/>
      <c r="D9471" s="4"/>
      <c r="E9471" s="4"/>
      <c r="F9471" s="4"/>
    </row>
    <row r="9472" spans="1:6" x14ac:dyDescent="0.4">
      <c r="A9472" s="4"/>
      <c r="B9472" s="4"/>
      <c r="D9472" s="4"/>
      <c r="E9472" s="4"/>
      <c r="F9472" s="4"/>
    </row>
    <row r="9473" spans="1:6" x14ac:dyDescent="0.4">
      <c r="A9473" s="4"/>
      <c r="B9473" s="4"/>
      <c r="D9473" s="4"/>
      <c r="E9473" s="4"/>
      <c r="F9473" s="4"/>
    </row>
    <row r="9474" spans="1:6" x14ac:dyDescent="0.4">
      <c r="A9474" s="4"/>
      <c r="B9474" s="4"/>
      <c r="D9474" s="4"/>
      <c r="E9474" s="4"/>
      <c r="F9474" s="4"/>
    </row>
    <row r="9475" spans="1:6" x14ac:dyDescent="0.4">
      <c r="A9475" s="4"/>
      <c r="B9475" s="4"/>
      <c r="D9475" s="4"/>
      <c r="E9475" s="4"/>
      <c r="F9475" s="4"/>
    </row>
    <row r="9476" spans="1:6" x14ac:dyDescent="0.4">
      <c r="A9476" s="4"/>
      <c r="B9476" s="4"/>
      <c r="D9476" s="4"/>
      <c r="E9476" s="4"/>
      <c r="F9476" s="4"/>
    </row>
    <row r="9477" spans="1:6" x14ac:dyDescent="0.4">
      <c r="A9477" s="4"/>
      <c r="B9477" s="4"/>
      <c r="D9477" s="4"/>
      <c r="E9477" s="4"/>
      <c r="F9477" s="4"/>
    </row>
    <row r="9478" spans="1:6" x14ac:dyDescent="0.4">
      <c r="A9478" s="4"/>
      <c r="B9478" s="4"/>
      <c r="D9478" s="4"/>
      <c r="E9478" s="4"/>
      <c r="F9478" s="4"/>
    </row>
    <row r="9479" spans="1:6" x14ac:dyDescent="0.4">
      <c r="A9479" s="4"/>
      <c r="B9479" s="4"/>
      <c r="D9479" s="4"/>
      <c r="E9479" s="4"/>
      <c r="F9479" s="4"/>
    </row>
    <row r="9480" spans="1:6" x14ac:dyDescent="0.4">
      <c r="A9480" s="4"/>
      <c r="B9480" s="4"/>
      <c r="D9480" s="4"/>
      <c r="E9480" s="4"/>
      <c r="F9480" s="4"/>
    </row>
    <row r="9481" spans="1:6" x14ac:dyDescent="0.4">
      <c r="A9481" s="4"/>
      <c r="B9481" s="4"/>
      <c r="D9481" s="4"/>
      <c r="E9481" s="4"/>
      <c r="F9481" s="4"/>
    </row>
    <row r="9482" spans="1:6" x14ac:dyDescent="0.4">
      <c r="A9482" s="4"/>
      <c r="B9482" s="4"/>
      <c r="D9482" s="4"/>
      <c r="E9482" s="4"/>
      <c r="F9482" s="4"/>
    </row>
    <row r="9483" spans="1:6" x14ac:dyDescent="0.4">
      <c r="A9483" s="4"/>
      <c r="B9483" s="4"/>
      <c r="D9483" s="4"/>
      <c r="E9483" s="4"/>
      <c r="F9483" s="4"/>
    </row>
    <row r="9484" spans="1:6" x14ac:dyDescent="0.4">
      <c r="A9484" s="4"/>
      <c r="B9484" s="4"/>
      <c r="D9484" s="4"/>
      <c r="E9484" s="4"/>
      <c r="F9484" s="4"/>
    </row>
    <row r="9485" spans="1:6" x14ac:dyDescent="0.4">
      <c r="A9485" s="4"/>
      <c r="B9485" s="4"/>
      <c r="D9485" s="4"/>
      <c r="E9485" s="4"/>
      <c r="F9485" s="4"/>
    </row>
    <row r="9486" spans="1:6" x14ac:dyDescent="0.4">
      <c r="A9486" s="4"/>
      <c r="B9486" s="4"/>
      <c r="D9486" s="4"/>
      <c r="E9486" s="4"/>
      <c r="F9486" s="4"/>
    </row>
    <row r="9487" spans="1:6" x14ac:dyDescent="0.4">
      <c r="A9487" s="4"/>
      <c r="B9487" s="4"/>
      <c r="D9487" s="4"/>
      <c r="E9487" s="4"/>
      <c r="F9487" s="4"/>
    </row>
    <row r="9488" spans="1:6" x14ac:dyDescent="0.4">
      <c r="A9488" s="4"/>
      <c r="B9488" s="4"/>
      <c r="D9488" s="4"/>
      <c r="E9488" s="4"/>
      <c r="F9488" s="4"/>
    </row>
    <row r="9489" spans="1:6" x14ac:dyDescent="0.4">
      <c r="A9489" s="4"/>
      <c r="B9489" s="4"/>
      <c r="D9489" s="4"/>
      <c r="E9489" s="4"/>
      <c r="F9489" s="4"/>
    </row>
    <row r="9490" spans="1:6" x14ac:dyDescent="0.4">
      <c r="A9490" s="4"/>
      <c r="B9490" s="4"/>
      <c r="D9490" s="4"/>
      <c r="E9490" s="4"/>
      <c r="F9490" s="4"/>
    </row>
    <row r="9491" spans="1:6" x14ac:dyDescent="0.4">
      <c r="A9491" s="4"/>
      <c r="B9491" s="4"/>
      <c r="D9491" s="4"/>
      <c r="E9491" s="4"/>
      <c r="F9491" s="4"/>
    </row>
    <row r="9492" spans="1:6" x14ac:dyDescent="0.4">
      <c r="A9492" s="4"/>
      <c r="B9492" s="4"/>
      <c r="D9492" s="4"/>
      <c r="E9492" s="4"/>
      <c r="F9492" s="4"/>
    </row>
    <row r="9493" spans="1:6" x14ac:dyDescent="0.4">
      <c r="A9493" s="4"/>
      <c r="B9493" s="4"/>
      <c r="D9493" s="4"/>
      <c r="E9493" s="4"/>
      <c r="F9493" s="4"/>
    </row>
    <row r="9494" spans="1:6" x14ac:dyDescent="0.4">
      <c r="A9494" s="4"/>
      <c r="B9494" s="4"/>
      <c r="D9494" s="4"/>
      <c r="E9494" s="4"/>
      <c r="F9494" s="4"/>
    </row>
    <row r="9495" spans="1:6" x14ac:dyDescent="0.4">
      <c r="A9495" s="4"/>
      <c r="B9495" s="4"/>
      <c r="D9495" s="4"/>
      <c r="E9495" s="4"/>
      <c r="F9495" s="4"/>
    </row>
    <row r="9496" spans="1:6" x14ac:dyDescent="0.4">
      <c r="A9496" s="4"/>
      <c r="B9496" s="4"/>
      <c r="D9496" s="4"/>
      <c r="E9496" s="4"/>
      <c r="F9496" s="4"/>
    </row>
    <row r="9497" spans="1:6" x14ac:dyDescent="0.4">
      <c r="A9497" s="4"/>
      <c r="B9497" s="4"/>
      <c r="D9497" s="4"/>
      <c r="E9497" s="4"/>
      <c r="F9497" s="4"/>
    </row>
    <row r="9498" spans="1:6" x14ac:dyDescent="0.4">
      <c r="A9498" s="4"/>
      <c r="B9498" s="4"/>
      <c r="D9498" s="4"/>
      <c r="E9498" s="4"/>
      <c r="F9498" s="4"/>
    </row>
    <row r="9499" spans="1:6" x14ac:dyDescent="0.4">
      <c r="A9499" s="4"/>
      <c r="B9499" s="4"/>
      <c r="D9499" s="4"/>
      <c r="E9499" s="4"/>
      <c r="F9499" s="4"/>
    </row>
    <row r="9500" spans="1:6" x14ac:dyDescent="0.4">
      <c r="A9500" s="4"/>
      <c r="B9500" s="4"/>
      <c r="D9500" s="4"/>
      <c r="E9500" s="4"/>
      <c r="F9500" s="4"/>
    </row>
    <row r="9501" spans="1:6" x14ac:dyDescent="0.4">
      <c r="A9501" s="4"/>
      <c r="B9501" s="4"/>
      <c r="D9501" s="4"/>
      <c r="E9501" s="4"/>
      <c r="F9501" s="4"/>
    </row>
    <row r="9502" spans="1:6" x14ac:dyDescent="0.4">
      <c r="A9502" s="4"/>
      <c r="B9502" s="4"/>
      <c r="D9502" s="4"/>
      <c r="E9502" s="4"/>
      <c r="F9502" s="4"/>
    </row>
    <row r="9503" spans="1:6" x14ac:dyDescent="0.4">
      <c r="A9503" s="4"/>
      <c r="B9503" s="4"/>
      <c r="D9503" s="4"/>
      <c r="E9503" s="4"/>
      <c r="F9503" s="4"/>
    </row>
    <row r="9504" spans="1:6" x14ac:dyDescent="0.4">
      <c r="A9504" s="4"/>
      <c r="B9504" s="4"/>
      <c r="D9504" s="4"/>
      <c r="E9504" s="4"/>
      <c r="F9504" s="4"/>
    </row>
    <row r="9505" spans="1:6" x14ac:dyDescent="0.4">
      <c r="A9505" s="4"/>
      <c r="B9505" s="4"/>
      <c r="D9505" s="4"/>
      <c r="E9505" s="4"/>
      <c r="F9505" s="4"/>
    </row>
    <row r="9506" spans="1:6" x14ac:dyDescent="0.4">
      <c r="A9506" s="4"/>
      <c r="B9506" s="4"/>
      <c r="D9506" s="4"/>
      <c r="E9506" s="4"/>
      <c r="F9506" s="4"/>
    </row>
    <row r="9507" spans="1:6" x14ac:dyDescent="0.4">
      <c r="A9507" s="4"/>
      <c r="B9507" s="4"/>
      <c r="D9507" s="4"/>
      <c r="E9507" s="4"/>
      <c r="F9507" s="4"/>
    </row>
    <row r="9508" spans="1:6" x14ac:dyDescent="0.4">
      <c r="A9508" s="4"/>
      <c r="B9508" s="4"/>
      <c r="D9508" s="4"/>
      <c r="E9508" s="4"/>
      <c r="F9508" s="4"/>
    </row>
    <row r="9509" spans="1:6" x14ac:dyDescent="0.4">
      <c r="A9509" s="4"/>
      <c r="B9509" s="4"/>
      <c r="D9509" s="4"/>
      <c r="E9509" s="4"/>
      <c r="F9509" s="4"/>
    </row>
    <row r="9510" spans="1:6" x14ac:dyDescent="0.4">
      <c r="A9510" s="4"/>
      <c r="B9510" s="4"/>
      <c r="D9510" s="4"/>
      <c r="E9510" s="4"/>
      <c r="F9510" s="4"/>
    </row>
    <row r="9511" spans="1:6" x14ac:dyDescent="0.4">
      <c r="A9511" s="4"/>
      <c r="B9511" s="4"/>
      <c r="D9511" s="4"/>
      <c r="E9511" s="4"/>
      <c r="F9511" s="4"/>
    </row>
    <row r="9512" spans="1:6" x14ac:dyDescent="0.4">
      <c r="A9512" s="4"/>
      <c r="B9512" s="4"/>
      <c r="D9512" s="4"/>
      <c r="E9512" s="4"/>
      <c r="F9512" s="4"/>
    </row>
    <row r="9513" spans="1:6" x14ac:dyDescent="0.4">
      <c r="A9513" s="4"/>
      <c r="B9513" s="4"/>
      <c r="D9513" s="4"/>
      <c r="E9513" s="4"/>
      <c r="F9513" s="4"/>
    </row>
    <row r="9514" spans="1:6" x14ac:dyDescent="0.4">
      <c r="A9514" s="4"/>
      <c r="B9514" s="4"/>
      <c r="D9514" s="4"/>
      <c r="E9514" s="4"/>
      <c r="F9514" s="4"/>
    </row>
    <row r="9515" spans="1:6" x14ac:dyDescent="0.4">
      <c r="A9515" s="4"/>
      <c r="B9515" s="4"/>
      <c r="D9515" s="4"/>
      <c r="E9515" s="4"/>
      <c r="F9515" s="4"/>
    </row>
    <row r="9516" spans="1:6" x14ac:dyDescent="0.4">
      <c r="A9516" s="4"/>
      <c r="B9516" s="4"/>
      <c r="D9516" s="4"/>
      <c r="E9516" s="4"/>
      <c r="F9516" s="4"/>
    </row>
    <row r="9517" spans="1:6" x14ac:dyDescent="0.4">
      <c r="A9517" s="4"/>
      <c r="B9517" s="4"/>
      <c r="D9517" s="4"/>
      <c r="E9517" s="4"/>
      <c r="F9517" s="4"/>
    </row>
    <row r="9518" spans="1:6" x14ac:dyDescent="0.4">
      <c r="A9518" s="4"/>
      <c r="B9518" s="4"/>
      <c r="D9518" s="4"/>
      <c r="E9518" s="4"/>
      <c r="F9518" s="4"/>
    </row>
    <row r="9519" spans="1:6" x14ac:dyDescent="0.4">
      <c r="A9519" s="4"/>
      <c r="B9519" s="4"/>
      <c r="D9519" s="4"/>
      <c r="E9519" s="4"/>
      <c r="F9519" s="4"/>
    </row>
    <row r="9520" spans="1:6" x14ac:dyDescent="0.4">
      <c r="A9520" s="4"/>
      <c r="B9520" s="4"/>
      <c r="D9520" s="4"/>
      <c r="E9520" s="4"/>
      <c r="F9520" s="4"/>
    </row>
    <row r="9521" spans="1:6" x14ac:dyDescent="0.4">
      <c r="A9521" s="4"/>
      <c r="B9521" s="4"/>
      <c r="D9521" s="4"/>
      <c r="E9521" s="4"/>
      <c r="F9521" s="4"/>
    </row>
    <row r="9522" spans="1:6" x14ac:dyDescent="0.4">
      <c r="A9522" s="4"/>
      <c r="B9522" s="4"/>
      <c r="D9522" s="4"/>
      <c r="E9522" s="4"/>
      <c r="F9522" s="4"/>
    </row>
    <row r="9523" spans="1:6" x14ac:dyDescent="0.4">
      <c r="A9523" s="4"/>
      <c r="B9523" s="4"/>
      <c r="D9523" s="4"/>
      <c r="E9523" s="4"/>
      <c r="F9523" s="4"/>
    </row>
    <row r="9524" spans="1:6" x14ac:dyDescent="0.4">
      <c r="A9524" s="4"/>
      <c r="B9524" s="4"/>
      <c r="D9524" s="4"/>
      <c r="E9524" s="4"/>
      <c r="F9524" s="4"/>
    </row>
    <row r="9525" spans="1:6" x14ac:dyDescent="0.4">
      <c r="A9525" s="4"/>
      <c r="B9525" s="4"/>
      <c r="D9525" s="4"/>
      <c r="E9525" s="4"/>
      <c r="F9525" s="4"/>
    </row>
    <row r="9526" spans="1:6" x14ac:dyDescent="0.4">
      <c r="A9526" s="4"/>
      <c r="B9526" s="4"/>
      <c r="D9526" s="4"/>
      <c r="E9526" s="4"/>
      <c r="F9526" s="4"/>
    </row>
    <row r="9527" spans="1:6" x14ac:dyDescent="0.4">
      <c r="A9527" s="4"/>
      <c r="B9527" s="4"/>
      <c r="D9527" s="4"/>
      <c r="E9527" s="4"/>
      <c r="F9527" s="4"/>
    </row>
    <row r="9528" spans="1:6" x14ac:dyDescent="0.4">
      <c r="A9528" s="4"/>
      <c r="B9528" s="4"/>
      <c r="D9528" s="4"/>
      <c r="E9528" s="4"/>
      <c r="F9528" s="4"/>
    </row>
    <row r="9529" spans="1:6" x14ac:dyDescent="0.4">
      <c r="A9529" s="4"/>
      <c r="B9529" s="4"/>
      <c r="D9529" s="4"/>
      <c r="E9529" s="4"/>
      <c r="F9529" s="4"/>
    </row>
    <row r="9530" spans="1:6" x14ac:dyDescent="0.4">
      <c r="A9530" s="4"/>
      <c r="B9530" s="4"/>
      <c r="D9530" s="4"/>
      <c r="E9530" s="4"/>
      <c r="F9530" s="4"/>
    </row>
    <row r="9531" spans="1:6" x14ac:dyDescent="0.4">
      <c r="A9531" s="4"/>
      <c r="B9531" s="4"/>
      <c r="D9531" s="4"/>
      <c r="E9531" s="4"/>
      <c r="F9531" s="4"/>
    </row>
    <row r="9532" spans="1:6" x14ac:dyDescent="0.4">
      <c r="A9532" s="4"/>
      <c r="B9532" s="4"/>
      <c r="D9532" s="4"/>
      <c r="E9532" s="4"/>
      <c r="F9532" s="4"/>
    </row>
    <row r="9533" spans="1:6" x14ac:dyDescent="0.4">
      <c r="A9533" s="4"/>
      <c r="B9533" s="4"/>
      <c r="D9533" s="4"/>
      <c r="E9533" s="4"/>
      <c r="F9533" s="4"/>
    </row>
    <row r="9534" spans="1:6" x14ac:dyDescent="0.4">
      <c r="A9534" s="4"/>
      <c r="B9534" s="4"/>
      <c r="D9534" s="4"/>
      <c r="E9534" s="4"/>
      <c r="F9534" s="4"/>
    </row>
    <row r="9535" spans="1:6" x14ac:dyDescent="0.4">
      <c r="A9535" s="4"/>
      <c r="B9535" s="4"/>
      <c r="D9535" s="4"/>
      <c r="E9535" s="4"/>
      <c r="F9535" s="4"/>
    </row>
    <row r="9536" spans="1:6" x14ac:dyDescent="0.4">
      <c r="A9536" s="4"/>
      <c r="B9536" s="4"/>
      <c r="D9536" s="4"/>
      <c r="E9536" s="4"/>
      <c r="F9536" s="4"/>
    </row>
    <row r="9537" spans="1:6" x14ac:dyDescent="0.4">
      <c r="A9537" s="4"/>
      <c r="B9537" s="4"/>
      <c r="D9537" s="4"/>
      <c r="E9537" s="4"/>
      <c r="F9537" s="4"/>
    </row>
    <row r="9538" spans="1:6" x14ac:dyDescent="0.4">
      <c r="A9538" s="4"/>
      <c r="B9538" s="4"/>
      <c r="D9538" s="4"/>
      <c r="E9538" s="4"/>
      <c r="F9538" s="4"/>
    </row>
    <row r="9539" spans="1:6" x14ac:dyDescent="0.4">
      <c r="A9539" s="4"/>
      <c r="B9539" s="4"/>
      <c r="D9539" s="4"/>
      <c r="E9539" s="4"/>
      <c r="F9539" s="4"/>
    </row>
    <row r="9540" spans="1:6" x14ac:dyDescent="0.4">
      <c r="A9540" s="4"/>
      <c r="B9540" s="4"/>
      <c r="D9540" s="4"/>
      <c r="E9540" s="4"/>
      <c r="F9540" s="4"/>
    </row>
    <row r="9541" spans="1:6" x14ac:dyDescent="0.4">
      <c r="A9541" s="4"/>
      <c r="B9541" s="4"/>
      <c r="D9541" s="4"/>
      <c r="E9541" s="4"/>
      <c r="F9541" s="4"/>
    </row>
    <row r="9542" spans="1:6" x14ac:dyDescent="0.4">
      <c r="A9542" s="4"/>
      <c r="B9542" s="4"/>
      <c r="D9542" s="4"/>
      <c r="E9542" s="4"/>
      <c r="F9542" s="4"/>
    </row>
    <row r="9543" spans="1:6" x14ac:dyDescent="0.4">
      <c r="A9543" s="4"/>
      <c r="B9543" s="4"/>
      <c r="D9543" s="4"/>
      <c r="E9543" s="4"/>
      <c r="F9543" s="4"/>
    </row>
    <row r="9544" spans="1:6" x14ac:dyDescent="0.4">
      <c r="A9544" s="4"/>
      <c r="B9544" s="4"/>
      <c r="D9544" s="4"/>
      <c r="E9544" s="4"/>
      <c r="F9544" s="4"/>
    </row>
    <row r="9545" spans="1:6" x14ac:dyDescent="0.4">
      <c r="A9545" s="4"/>
      <c r="B9545" s="4"/>
      <c r="D9545" s="4"/>
      <c r="E9545" s="4"/>
      <c r="F9545" s="4"/>
    </row>
    <row r="9546" spans="1:6" x14ac:dyDescent="0.4">
      <c r="A9546" s="4"/>
      <c r="B9546" s="4"/>
      <c r="D9546" s="4"/>
      <c r="E9546" s="4"/>
      <c r="F9546" s="4"/>
    </row>
    <row r="9547" spans="1:6" x14ac:dyDescent="0.4">
      <c r="A9547" s="4"/>
      <c r="B9547" s="4"/>
      <c r="D9547" s="4"/>
      <c r="E9547" s="4"/>
      <c r="F9547" s="4"/>
    </row>
    <row r="9548" spans="1:6" x14ac:dyDescent="0.4">
      <c r="A9548" s="4"/>
      <c r="B9548" s="4"/>
      <c r="D9548" s="4"/>
      <c r="E9548" s="4"/>
      <c r="F9548" s="4"/>
    </row>
    <row r="9549" spans="1:6" x14ac:dyDescent="0.4">
      <c r="A9549" s="4"/>
      <c r="B9549" s="4"/>
      <c r="D9549" s="4"/>
      <c r="E9549" s="4"/>
      <c r="F9549" s="4"/>
    </row>
    <row r="9550" spans="1:6" x14ac:dyDescent="0.4">
      <c r="A9550" s="4"/>
      <c r="B9550" s="4"/>
      <c r="D9550" s="4"/>
      <c r="E9550" s="4"/>
      <c r="F9550" s="4"/>
    </row>
    <row r="9551" spans="1:6" x14ac:dyDescent="0.4">
      <c r="A9551" s="4"/>
      <c r="B9551" s="4"/>
      <c r="D9551" s="4"/>
      <c r="E9551" s="4"/>
      <c r="F9551" s="4"/>
    </row>
    <row r="9552" spans="1:6" x14ac:dyDescent="0.4">
      <c r="A9552" s="4"/>
      <c r="B9552" s="4"/>
      <c r="D9552" s="4"/>
      <c r="E9552" s="4"/>
      <c r="F9552" s="4"/>
    </row>
    <row r="9553" spans="1:6" x14ac:dyDescent="0.4">
      <c r="A9553" s="4"/>
      <c r="B9553" s="4"/>
      <c r="D9553" s="4"/>
      <c r="E9553" s="4"/>
      <c r="F9553" s="4"/>
    </row>
    <row r="9554" spans="1:6" x14ac:dyDescent="0.4">
      <c r="A9554" s="4"/>
      <c r="B9554" s="4"/>
      <c r="D9554" s="4"/>
      <c r="E9554" s="4"/>
      <c r="F9554" s="4"/>
    </row>
    <row r="9555" spans="1:6" x14ac:dyDescent="0.4">
      <c r="A9555" s="4"/>
      <c r="B9555" s="4"/>
      <c r="D9555" s="4"/>
      <c r="E9555" s="4"/>
      <c r="F9555" s="4"/>
    </row>
    <row r="9556" spans="1:6" x14ac:dyDescent="0.4">
      <c r="A9556" s="4"/>
      <c r="B9556" s="4"/>
      <c r="D9556" s="4"/>
      <c r="E9556" s="4"/>
      <c r="F9556" s="4"/>
    </row>
    <row r="9557" spans="1:6" x14ac:dyDescent="0.4">
      <c r="A9557" s="4"/>
      <c r="B9557" s="4"/>
      <c r="D9557" s="4"/>
      <c r="E9557" s="4"/>
      <c r="F9557" s="4"/>
    </row>
    <row r="9558" spans="1:6" x14ac:dyDescent="0.4">
      <c r="A9558" s="4"/>
      <c r="B9558" s="4"/>
      <c r="D9558" s="4"/>
      <c r="E9558" s="4"/>
      <c r="F9558" s="4"/>
    </row>
    <row r="9559" spans="1:6" x14ac:dyDescent="0.4">
      <c r="A9559" s="4"/>
      <c r="B9559" s="4"/>
      <c r="D9559" s="4"/>
      <c r="E9559" s="4"/>
      <c r="F9559" s="4"/>
    </row>
    <row r="9560" spans="1:6" x14ac:dyDescent="0.4">
      <c r="A9560" s="4"/>
      <c r="B9560" s="4"/>
      <c r="D9560" s="4"/>
      <c r="E9560" s="4"/>
      <c r="F9560" s="4"/>
    </row>
    <row r="9561" spans="1:6" x14ac:dyDescent="0.4">
      <c r="A9561" s="4"/>
      <c r="B9561" s="4"/>
      <c r="D9561" s="4"/>
      <c r="E9561" s="4"/>
      <c r="F9561" s="4"/>
    </row>
    <row r="9562" spans="1:6" x14ac:dyDescent="0.4">
      <c r="A9562" s="4"/>
      <c r="B9562" s="4"/>
      <c r="D9562" s="4"/>
      <c r="E9562" s="4"/>
      <c r="F9562" s="4"/>
    </row>
    <row r="9563" spans="1:6" x14ac:dyDescent="0.4">
      <c r="A9563" s="4"/>
      <c r="B9563" s="4"/>
      <c r="D9563" s="4"/>
      <c r="E9563" s="4"/>
      <c r="F9563" s="4"/>
    </row>
    <row r="9564" spans="1:6" x14ac:dyDescent="0.4">
      <c r="A9564" s="4"/>
      <c r="B9564" s="4"/>
      <c r="D9564" s="4"/>
      <c r="E9564" s="4"/>
      <c r="F9564" s="4"/>
    </row>
    <row r="9565" spans="1:6" x14ac:dyDescent="0.4">
      <c r="A9565" s="4"/>
      <c r="B9565" s="4"/>
      <c r="D9565" s="4"/>
      <c r="E9565" s="4"/>
      <c r="F9565" s="4"/>
    </row>
    <row r="9566" spans="1:6" x14ac:dyDescent="0.4">
      <c r="A9566" s="4"/>
      <c r="B9566" s="4"/>
      <c r="D9566" s="4"/>
      <c r="E9566" s="4"/>
      <c r="F9566" s="4"/>
    </row>
    <row r="9567" spans="1:6" x14ac:dyDescent="0.4">
      <c r="A9567" s="4"/>
      <c r="B9567" s="4"/>
      <c r="D9567" s="4"/>
      <c r="E9567" s="4"/>
      <c r="F9567" s="4"/>
    </row>
    <row r="9568" spans="1:6" x14ac:dyDescent="0.4">
      <c r="A9568" s="4"/>
      <c r="B9568" s="4"/>
      <c r="D9568" s="4"/>
      <c r="E9568" s="4"/>
      <c r="F9568" s="4"/>
    </row>
    <row r="9569" spans="1:6" x14ac:dyDescent="0.4">
      <c r="A9569" s="4"/>
      <c r="B9569" s="4"/>
      <c r="D9569" s="4"/>
      <c r="E9569" s="4"/>
      <c r="F9569" s="4"/>
    </row>
    <row r="9570" spans="1:6" x14ac:dyDescent="0.4">
      <c r="A9570" s="4"/>
      <c r="B9570" s="4"/>
      <c r="D9570" s="4"/>
      <c r="E9570" s="4"/>
      <c r="F9570" s="4"/>
    </row>
    <row r="9571" spans="1:6" x14ac:dyDescent="0.4">
      <c r="A9571" s="4"/>
      <c r="B9571" s="4"/>
      <c r="D9571" s="4"/>
      <c r="E9571" s="4"/>
      <c r="F9571" s="4"/>
    </row>
    <row r="9572" spans="1:6" x14ac:dyDescent="0.4">
      <c r="A9572" s="4"/>
      <c r="B9572" s="4"/>
      <c r="D9572" s="4"/>
      <c r="E9572" s="4"/>
      <c r="F9572" s="4"/>
    </row>
    <row r="9573" spans="1:6" x14ac:dyDescent="0.4">
      <c r="A9573" s="4"/>
      <c r="B9573" s="4"/>
      <c r="D9573" s="4"/>
      <c r="E9573" s="4"/>
      <c r="F9573" s="4"/>
    </row>
    <row r="9574" spans="1:6" x14ac:dyDescent="0.4">
      <c r="A9574" s="4"/>
      <c r="B9574" s="4"/>
      <c r="D9574" s="4"/>
      <c r="E9574" s="4"/>
      <c r="F9574" s="4"/>
    </row>
    <row r="9575" spans="1:6" x14ac:dyDescent="0.4">
      <c r="A9575" s="4"/>
      <c r="B9575" s="4"/>
      <c r="D9575" s="4"/>
      <c r="E9575" s="4"/>
      <c r="F9575" s="4"/>
    </row>
    <row r="9576" spans="1:6" x14ac:dyDescent="0.4">
      <c r="A9576" s="4"/>
      <c r="B9576" s="4"/>
      <c r="D9576" s="4"/>
      <c r="E9576" s="4"/>
      <c r="F9576" s="4"/>
    </row>
    <row r="9577" spans="1:6" x14ac:dyDescent="0.4">
      <c r="A9577" s="4"/>
      <c r="B9577" s="4"/>
      <c r="D9577" s="4"/>
      <c r="E9577" s="4"/>
      <c r="F9577" s="4"/>
    </row>
    <row r="9578" spans="1:6" x14ac:dyDescent="0.4">
      <c r="A9578" s="4"/>
      <c r="B9578" s="4"/>
      <c r="D9578" s="4"/>
      <c r="E9578" s="4"/>
      <c r="F9578" s="4"/>
    </row>
    <row r="9579" spans="1:6" x14ac:dyDescent="0.4">
      <c r="A9579" s="4"/>
      <c r="B9579" s="4"/>
      <c r="D9579" s="4"/>
      <c r="E9579" s="4"/>
      <c r="F9579" s="4"/>
    </row>
    <row r="9580" spans="1:6" x14ac:dyDescent="0.4">
      <c r="A9580" s="4"/>
      <c r="B9580" s="4"/>
      <c r="D9580" s="4"/>
      <c r="E9580" s="4"/>
      <c r="F9580" s="4"/>
    </row>
    <row r="9581" spans="1:6" x14ac:dyDescent="0.4">
      <c r="A9581" s="4"/>
      <c r="B9581" s="4"/>
      <c r="D9581" s="4"/>
      <c r="E9581" s="4"/>
      <c r="F9581" s="4"/>
    </row>
    <row r="9582" spans="1:6" x14ac:dyDescent="0.4">
      <c r="A9582" s="4"/>
      <c r="B9582" s="4"/>
      <c r="D9582" s="4"/>
      <c r="E9582" s="4"/>
      <c r="F9582" s="4"/>
    </row>
    <row r="9583" spans="1:6" x14ac:dyDescent="0.4">
      <c r="A9583" s="4"/>
      <c r="B9583" s="4"/>
      <c r="D9583" s="4"/>
      <c r="E9583" s="4"/>
      <c r="F9583" s="4"/>
    </row>
    <row r="9584" spans="1:6" x14ac:dyDescent="0.4">
      <c r="A9584" s="4"/>
      <c r="B9584" s="4"/>
      <c r="D9584" s="4"/>
      <c r="E9584" s="4"/>
      <c r="F9584" s="4"/>
    </row>
    <row r="9585" spans="1:6" x14ac:dyDescent="0.4">
      <c r="A9585" s="4"/>
      <c r="B9585" s="4"/>
      <c r="D9585" s="4"/>
      <c r="E9585" s="4"/>
      <c r="F9585" s="4"/>
    </row>
    <row r="9586" spans="1:6" x14ac:dyDescent="0.4">
      <c r="A9586" s="4"/>
      <c r="B9586" s="4"/>
      <c r="D9586" s="4"/>
      <c r="E9586" s="4"/>
      <c r="F9586" s="4"/>
    </row>
    <row r="9587" spans="1:6" x14ac:dyDescent="0.4">
      <c r="A9587" s="4"/>
      <c r="B9587" s="4"/>
      <c r="D9587" s="4"/>
      <c r="E9587" s="4"/>
      <c r="F9587" s="4"/>
    </row>
    <row r="9588" spans="1:6" x14ac:dyDescent="0.4">
      <c r="A9588" s="4"/>
      <c r="B9588" s="4"/>
      <c r="D9588" s="4"/>
      <c r="E9588" s="4"/>
      <c r="F9588" s="4"/>
    </row>
    <row r="9589" spans="1:6" x14ac:dyDescent="0.4">
      <c r="A9589" s="4"/>
      <c r="B9589" s="4"/>
      <c r="D9589" s="4"/>
      <c r="E9589" s="4"/>
      <c r="F9589" s="4"/>
    </row>
    <row r="9590" spans="1:6" x14ac:dyDescent="0.4">
      <c r="A9590" s="4"/>
      <c r="B9590" s="4"/>
      <c r="D9590" s="4"/>
      <c r="E9590" s="4"/>
      <c r="F9590" s="4"/>
    </row>
    <row r="9591" spans="1:6" x14ac:dyDescent="0.4">
      <c r="A9591" s="4"/>
      <c r="B9591" s="4"/>
      <c r="D9591" s="4"/>
      <c r="E9591" s="4"/>
      <c r="F9591" s="4"/>
    </row>
    <row r="9592" spans="1:6" x14ac:dyDescent="0.4">
      <c r="A9592" s="4"/>
      <c r="B9592" s="4"/>
      <c r="D9592" s="4"/>
      <c r="E9592" s="4"/>
      <c r="F9592" s="4"/>
    </row>
    <row r="9593" spans="1:6" x14ac:dyDescent="0.4">
      <c r="A9593" s="4"/>
      <c r="B9593" s="4"/>
      <c r="D9593" s="4"/>
      <c r="E9593" s="4"/>
      <c r="F9593" s="4"/>
    </row>
    <row r="9594" spans="1:6" x14ac:dyDescent="0.4">
      <c r="A9594" s="4"/>
      <c r="B9594" s="4"/>
      <c r="D9594" s="4"/>
      <c r="E9594" s="4"/>
      <c r="F9594" s="4"/>
    </row>
    <row r="9595" spans="1:6" x14ac:dyDescent="0.4">
      <c r="A9595" s="4"/>
      <c r="B9595" s="4"/>
      <c r="D9595" s="4"/>
      <c r="E9595" s="4"/>
      <c r="F9595" s="4"/>
    </row>
    <row r="9596" spans="1:6" x14ac:dyDescent="0.4">
      <c r="A9596" s="4"/>
      <c r="B9596" s="4"/>
      <c r="D9596" s="4"/>
      <c r="E9596" s="4"/>
      <c r="F9596" s="4"/>
    </row>
    <row r="9597" spans="1:6" x14ac:dyDescent="0.4">
      <c r="A9597" s="4"/>
      <c r="B9597" s="4"/>
      <c r="D9597" s="4"/>
      <c r="E9597" s="4"/>
      <c r="F9597" s="4"/>
    </row>
    <row r="9598" spans="1:6" x14ac:dyDescent="0.4">
      <c r="A9598" s="4"/>
      <c r="B9598" s="4"/>
      <c r="D9598" s="4"/>
      <c r="E9598" s="4"/>
      <c r="F9598" s="4"/>
    </row>
    <row r="9599" spans="1:6" x14ac:dyDescent="0.4">
      <c r="A9599" s="4"/>
      <c r="B9599" s="4"/>
      <c r="D9599" s="4"/>
      <c r="E9599" s="4"/>
      <c r="F9599" s="4"/>
    </row>
    <row r="9600" spans="1:6" x14ac:dyDescent="0.4">
      <c r="A9600" s="4"/>
      <c r="B9600" s="4"/>
      <c r="D9600" s="4"/>
      <c r="E9600" s="4"/>
      <c r="F9600" s="4"/>
    </row>
    <row r="9601" spans="1:6" x14ac:dyDescent="0.4">
      <c r="A9601" s="4"/>
      <c r="B9601" s="4"/>
      <c r="D9601" s="4"/>
      <c r="E9601" s="4"/>
      <c r="F9601" s="4"/>
    </row>
    <row r="9602" spans="1:6" x14ac:dyDescent="0.4">
      <c r="A9602" s="4"/>
      <c r="B9602" s="4"/>
      <c r="D9602" s="4"/>
      <c r="E9602" s="4"/>
      <c r="F9602" s="4"/>
    </row>
    <row r="9603" spans="1:6" x14ac:dyDescent="0.4">
      <c r="A9603" s="4"/>
      <c r="B9603" s="4"/>
      <c r="D9603" s="4"/>
      <c r="E9603" s="4"/>
      <c r="F9603" s="4"/>
    </row>
    <row r="9604" spans="1:6" x14ac:dyDescent="0.4">
      <c r="A9604" s="4"/>
      <c r="B9604" s="4"/>
      <c r="D9604" s="4"/>
      <c r="E9604" s="4"/>
      <c r="F9604" s="4"/>
    </row>
    <row r="9605" spans="1:6" x14ac:dyDescent="0.4">
      <c r="A9605" s="4"/>
      <c r="B9605" s="4"/>
      <c r="D9605" s="4"/>
      <c r="E9605" s="4"/>
      <c r="F9605" s="4"/>
    </row>
    <row r="9606" spans="1:6" x14ac:dyDescent="0.4">
      <c r="A9606" s="4"/>
      <c r="B9606" s="4"/>
      <c r="D9606" s="4"/>
      <c r="E9606" s="4"/>
      <c r="F9606" s="4"/>
    </row>
    <row r="9607" spans="1:6" x14ac:dyDescent="0.4">
      <c r="A9607" s="4"/>
      <c r="B9607" s="4"/>
      <c r="D9607" s="4"/>
      <c r="E9607" s="4"/>
      <c r="F9607" s="4"/>
    </row>
    <row r="9608" spans="1:6" x14ac:dyDescent="0.4">
      <c r="A9608" s="4"/>
      <c r="B9608" s="4"/>
      <c r="D9608" s="4"/>
      <c r="E9608" s="4"/>
      <c r="F9608" s="4"/>
    </row>
    <row r="9609" spans="1:6" x14ac:dyDescent="0.4">
      <c r="A9609" s="4"/>
      <c r="B9609" s="4"/>
      <c r="D9609" s="4"/>
      <c r="E9609" s="4"/>
      <c r="F9609" s="4"/>
    </row>
    <row r="9610" spans="1:6" x14ac:dyDescent="0.4">
      <c r="A9610" s="4"/>
      <c r="B9610" s="4"/>
      <c r="D9610" s="4"/>
      <c r="E9610" s="4"/>
      <c r="F9610" s="4"/>
    </row>
    <row r="9611" spans="1:6" x14ac:dyDescent="0.4">
      <c r="A9611" s="4"/>
      <c r="B9611" s="4"/>
      <c r="D9611" s="4"/>
      <c r="E9611" s="4"/>
      <c r="F9611" s="4"/>
    </row>
    <row r="9612" spans="1:6" x14ac:dyDescent="0.4">
      <c r="A9612" s="4"/>
      <c r="B9612" s="4"/>
      <c r="D9612" s="4"/>
      <c r="E9612" s="4"/>
      <c r="F9612" s="4"/>
    </row>
    <row r="9613" spans="1:6" x14ac:dyDescent="0.4">
      <c r="A9613" s="4"/>
      <c r="B9613" s="4"/>
      <c r="D9613" s="4"/>
      <c r="E9613" s="4"/>
      <c r="F9613" s="4"/>
    </row>
    <row r="9614" spans="1:6" x14ac:dyDescent="0.4">
      <c r="A9614" s="4"/>
      <c r="B9614" s="4"/>
      <c r="D9614" s="4"/>
      <c r="E9614" s="4"/>
      <c r="F9614" s="4"/>
    </row>
    <row r="9615" spans="1:6" x14ac:dyDescent="0.4">
      <c r="A9615" s="4"/>
      <c r="B9615" s="4"/>
      <c r="D9615" s="4"/>
      <c r="E9615" s="4"/>
      <c r="F9615" s="4"/>
    </row>
    <row r="9616" spans="1:6" x14ac:dyDescent="0.4">
      <c r="A9616" s="4"/>
      <c r="B9616" s="4"/>
      <c r="D9616" s="4"/>
      <c r="E9616" s="4"/>
      <c r="F9616" s="4"/>
    </row>
    <row r="9617" spans="1:6" x14ac:dyDescent="0.4">
      <c r="A9617" s="4"/>
      <c r="B9617" s="4"/>
      <c r="D9617" s="4"/>
      <c r="E9617" s="4"/>
      <c r="F9617" s="4"/>
    </row>
    <row r="9618" spans="1:6" x14ac:dyDescent="0.4">
      <c r="A9618" s="4"/>
      <c r="B9618" s="4"/>
      <c r="D9618" s="4"/>
      <c r="E9618" s="4"/>
      <c r="F9618" s="4"/>
    </row>
    <row r="9619" spans="1:6" x14ac:dyDescent="0.4">
      <c r="A9619" s="4"/>
      <c r="B9619" s="4"/>
      <c r="D9619" s="4"/>
      <c r="E9619" s="4"/>
      <c r="F9619" s="4"/>
    </row>
    <row r="9620" spans="1:6" x14ac:dyDescent="0.4">
      <c r="A9620" s="4"/>
      <c r="B9620" s="4"/>
      <c r="D9620" s="4"/>
      <c r="E9620" s="4"/>
      <c r="F9620" s="4"/>
    </row>
    <row r="9621" spans="1:6" x14ac:dyDescent="0.4">
      <c r="A9621" s="4"/>
      <c r="B9621" s="4"/>
      <c r="D9621" s="4"/>
      <c r="E9621" s="4"/>
      <c r="F9621" s="4"/>
    </row>
    <row r="9622" spans="1:6" x14ac:dyDescent="0.4">
      <c r="A9622" s="4"/>
      <c r="B9622" s="4"/>
      <c r="D9622" s="4"/>
      <c r="E9622" s="4"/>
      <c r="F9622" s="4"/>
    </row>
    <row r="9623" spans="1:6" x14ac:dyDescent="0.4">
      <c r="A9623" s="4"/>
      <c r="B9623" s="4"/>
      <c r="D9623" s="4"/>
      <c r="E9623" s="4"/>
      <c r="F9623" s="4"/>
    </row>
    <row r="9624" spans="1:6" x14ac:dyDescent="0.4">
      <c r="A9624" s="4"/>
      <c r="B9624" s="4"/>
      <c r="D9624" s="4"/>
      <c r="E9624" s="4"/>
      <c r="F9624" s="4"/>
    </row>
    <row r="9625" spans="1:6" x14ac:dyDescent="0.4">
      <c r="A9625" s="4"/>
      <c r="B9625" s="4"/>
      <c r="D9625" s="4"/>
      <c r="E9625" s="4"/>
      <c r="F9625" s="4"/>
    </row>
    <row r="9626" spans="1:6" x14ac:dyDescent="0.4">
      <c r="A9626" s="4"/>
      <c r="B9626" s="4"/>
      <c r="D9626" s="4"/>
      <c r="E9626" s="4"/>
      <c r="F9626" s="4"/>
    </row>
    <row r="9627" spans="1:6" x14ac:dyDescent="0.4">
      <c r="A9627" s="4"/>
      <c r="B9627" s="4"/>
      <c r="D9627" s="4"/>
      <c r="E9627" s="4"/>
      <c r="F9627" s="4"/>
    </row>
    <row r="9628" spans="1:6" x14ac:dyDescent="0.4">
      <c r="A9628" s="4"/>
      <c r="B9628" s="4"/>
      <c r="D9628" s="4"/>
      <c r="E9628" s="4"/>
      <c r="F9628" s="4"/>
    </row>
    <row r="9629" spans="1:6" x14ac:dyDescent="0.4">
      <c r="A9629" s="4"/>
      <c r="B9629" s="4"/>
      <c r="D9629" s="4"/>
      <c r="E9629" s="4"/>
      <c r="F9629" s="4"/>
    </row>
    <row r="9630" spans="1:6" x14ac:dyDescent="0.4">
      <c r="A9630" s="4"/>
      <c r="B9630" s="4"/>
      <c r="D9630" s="4"/>
      <c r="E9630" s="4"/>
      <c r="F9630" s="4"/>
    </row>
    <row r="9631" spans="1:6" x14ac:dyDescent="0.4">
      <c r="A9631" s="4"/>
      <c r="B9631" s="4"/>
      <c r="D9631" s="4"/>
      <c r="E9631" s="4"/>
      <c r="F9631" s="4"/>
    </row>
    <row r="9632" spans="1:6" x14ac:dyDescent="0.4">
      <c r="A9632" s="4"/>
      <c r="B9632" s="4"/>
      <c r="D9632" s="4"/>
      <c r="E9632" s="4"/>
      <c r="F9632" s="4"/>
    </row>
    <row r="9633" spans="1:6" x14ac:dyDescent="0.4">
      <c r="A9633" s="4"/>
      <c r="B9633" s="4"/>
      <c r="D9633" s="4"/>
      <c r="E9633" s="4"/>
      <c r="F9633" s="4"/>
    </row>
    <row r="9634" spans="1:6" x14ac:dyDescent="0.4">
      <c r="A9634" s="4"/>
      <c r="B9634" s="4"/>
      <c r="D9634" s="4"/>
      <c r="E9634" s="4"/>
      <c r="F9634" s="4"/>
    </row>
    <row r="9635" spans="1:6" x14ac:dyDescent="0.4">
      <c r="A9635" s="4"/>
      <c r="B9635" s="4"/>
      <c r="D9635" s="4"/>
      <c r="E9635" s="4"/>
      <c r="F9635" s="4"/>
    </row>
    <row r="9636" spans="1:6" x14ac:dyDescent="0.4">
      <c r="A9636" s="4"/>
      <c r="B9636" s="4"/>
      <c r="D9636" s="4"/>
      <c r="E9636" s="4"/>
      <c r="F9636" s="4"/>
    </row>
    <row r="9637" spans="1:6" x14ac:dyDescent="0.4">
      <c r="A9637" s="4"/>
      <c r="B9637" s="4"/>
      <c r="D9637" s="4"/>
      <c r="E9637" s="4"/>
      <c r="F9637" s="4"/>
    </row>
    <row r="9638" spans="1:6" x14ac:dyDescent="0.4">
      <c r="A9638" s="4"/>
      <c r="B9638" s="4"/>
      <c r="D9638" s="4"/>
      <c r="E9638" s="4"/>
      <c r="F9638" s="4"/>
    </row>
    <row r="9639" spans="1:6" x14ac:dyDescent="0.4">
      <c r="A9639" s="4"/>
      <c r="B9639" s="4"/>
      <c r="D9639" s="4"/>
      <c r="E9639" s="4"/>
      <c r="F9639" s="4"/>
    </row>
    <row r="9640" spans="1:6" x14ac:dyDescent="0.4">
      <c r="A9640" s="4"/>
      <c r="B9640" s="4"/>
      <c r="D9640" s="4"/>
      <c r="E9640" s="4"/>
      <c r="F9640" s="4"/>
    </row>
    <row r="9641" spans="1:6" x14ac:dyDescent="0.4">
      <c r="A9641" s="4"/>
      <c r="B9641" s="4"/>
      <c r="D9641" s="4"/>
      <c r="E9641" s="4"/>
      <c r="F9641" s="4"/>
    </row>
    <row r="9642" spans="1:6" x14ac:dyDescent="0.4">
      <c r="A9642" s="4"/>
      <c r="B9642" s="4"/>
      <c r="D9642" s="4"/>
      <c r="E9642" s="4"/>
      <c r="F9642" s="4"/>
    </row>
    <row r="9643" spans="1:6" x14ac:dyDescent="0.4">
      <c r="A9643" s="4"/>
      <c r="B9643" s="4"/>
      <c r="D9643" s="4"/>
      <c r="E9643" s="4"/>
      <c r="F9643" s="4"/>
    </row>
    <row r="9644" spans="1:6" x14ac:dyDescent="0.4">
      <c r="A9644" s="4"/>
      <c r="B9644" s="4"/>
      <c r="D9644" s="4"/>
      <c r="E9644" s="4"/>
      <c r="F9644" s="4"/>
    </row>
    <row r="9645" spans="1:6" x14ac:dyDescent="0.4">
      <c r="A9645" s="4"/>
      <c r="B9645" s="4"/>
      <c r="D9645" s="4"/>
      <c r="E9645" s="4"/>
      <c r="F9645" s="4"/>
    </row>
    <row r="9646" spans="1:6" x14ac:dyDescent="0.4">
      <c r="A9646" s="4"/>
      <c r="B9646" s="4"/>
      <c r="D9646" s="4"/>
      <c r="E9646" s="4"/>
      <c r="F9646" s="4"/>
    </row>
    <row r="9647" spans="1:6" x14ac:dyDescent="0.4">
      <c r="A9647" s="4"/>
      <c r="B9647" s="4"/>
      <c r="D9647" s="4"/>
      <c r="E9647" s="4"/>
      <c r="F9647" s="4"/>
    </row>
    <row r="9648" spans="1:6" x14ac:dyDescent="0.4">
      <c r="A9648" s="4"/>
      <c r="B9648" s="4"/>
      <c r="D9648" s="4"/>
      <c r="E9648" s="4"/>
      <c r="F9648" s="4"/>
    </row>
    <row r="9649" spans="1:6" x14ac:dyDescent="0.4">
      <c r="A9649" s="4"/>
      <c r="B9649" s="4"/>
      <c r="D9649" s="4"/>
      <c r="E9649" s="4"/>
      <c r="F9649" s="4"/>
    </row>
    <row r="9650" spans="1:6" x14ac:dyDescent="0.4">
      <c r="A9650" s="4"/>
      <c r="B9650" s="4"/>
      <c r="D9650" s="4"/>
      <c r="E9650" s="4"/>
      <c r="F9650" s="4"/>
    </row>
    <row r="9651" spans="1:6" x14ac:dyDescent="0.4">
      <c r="A9651" s="4"/>
      <c r="B9651" s="4"/>
      <c r="D9651" s="4"/>
      <c r="E9651" s="4"/>
      <c r="F9651" s="4"/>
    </row>
    <row r="9652" spans="1:6" x14ac:dyDescent="0.4">
      <c r="A9652" s="4"/>
      <c r="B9652" s="4"/>
      <c r="D9652" s="4"/>
      <c r="E9652" s="4"/>
      <c r="F9652" s="4"/>
    </row>
    <row r="9653" spans="1:6" x14ac:dyDescent="0.4">
      <c r="A9653" s="4"/>
      <c r="B9653" s="4"/>
      <c r="D9653" s="4"/>
      <c r="E9653" s="4"/>
      <c r="F9653" s="4"/>
    </row>
    <row r="9654" spans="1:6" x14ac:dyDescent="0.4">
      <c r="A9654" s="4"/>
      <c r="B9654" s="4"/>
      <c r="D9654" s="4"/>
      <c r="E9654" s="4"/>
      <c r="F9654" s="4"/>
    </row>
    <row r="9655" spans="1:6" x14ac:dyDescent="0.4">
      <c r="A9655" s="4"/>
      <c r="B9655" s="4"/>
      <c r="D9655" s="4"/>
      <c r="E9655" s="4"/>
      <c r="F9655" s="4"/>
    </row>
    <row r="9656" spans="1:6" x14ac:dyDescent="0.4">
      <c r="A9656" s="4"/>
      <c r="B9656" s="4"/>
      <c r="D9656" s="4"/>
      <c r="E9656" s="4"/>
      <c r="F9656" s="4"/>
    </row>
    <row r="9657" spans="1:6" x14ac:dyDescent="0.4">
      <c r="A9657" s="4"/>
      <c r="B9657" s="4"/>
      <c r="D9657" s="4"/>
      <c r="E9657" s="4"/>
      <c r="F9657" s="4"/>
    </row>
    <row r="9658" spans="1:6" x14ac:dyDescent="0.4">
      <c r="A9658" s="4"/>
      <c r="B9658" s="4"/>
      <c r="D9658" s="4"/>
      <c r="E9658" s="4"/>
      <c r="F9658" s="4"/>
    </row>
    <row r="9659" spans="1:6" x14ac:dyDescent="0.4">
      <c r="A9659" s="4"/>
      <c r="B9659" s="4"/>
      <c r="D9659" s="4"/>
      <c r="E9659" s="4"/>
      <c r="F9659" s="4"/>
    </row>
    <row r="9660" spans="1:6" x14ac:dyDescent="0.4">
      <c r="A9660" s="4"/>
      <c r="B9660" s="4"/>
      <c r="D9660" s="4"/>
      <c r="E9660" s="4"/>
      <c r="F9660" s="4"/>
    </row>
    <row r="9661" spans="1:6" x14ac:dyDescent="0.4">
      <c r="A9661" s="4"/>
      <c r="B9661" s="4"/>
      <c r="D9661" s="4"/>
      <c r="E9661" s="4"/>
      <c r="F9661" s="4"/>
    </row>
    <row r="9662" spans="1:6" x14ac:dyDescent="0.4">
      <c r="A9662" s="4"/>
      <c r="B9662" s="4"/>
      <c r="D9662" s="4"/>
      <c r="E9662" s="4"/>
      <c r="F9662" s="4"/>
    </row>
    <row r="9663" spans="1:6" x14ac:dyDescent="0.4">
      <c r="A9663" s="4"/>
      <c r="B9663" s="4"/>
      <c r="D9663" s="4"/>
      <c r="E9663" s="4"/>
      <c r="F9663" s="4"/>
    </row>
    <row r="9664" spans="1:6" x14ac:dyDescent="0.4">
      <c r="A9664" s="4"/>
      <c r="B9664" s="4"/>
      <c r="D9664" s="4"/>
      <c r="E9664" s="4"/>
      <c r="F9664" s="4"/>
    </row>
    <row r="9665" spans="1:6" x14ac:dyDescent="0.4">
      <c r="A9665" s="4"/>
      <c r="B9665" s="4"/>
      <c r="D9665" s="4"/>
      <c r="E9665" s="4"/>
      <c r="F9665" s="4"/>
    </row>
    <row r="9666" spans="1:6" x14ac:dyDescent="0.4">
      <c r="A9666" s="4"/>
      <c r="B9666" s="4"/>
      <c r="D9666" s="4"/>
      <c r="E9666" s="4"/>
      <c r="F9666" s="4"/>
    </row>
    <row r="9667" spans="1:6" x14ac:dyDescent="0.4">
      <c r="A9667" s="4"/>
      <c r="B9667" s="4"/>
      <c r="D9667" s="4"/>
      <c r="E9667" s="4"/>
      <c r="F9667" s="4"/>
    </row>
    <row r="9668" spans="1:6" x14ac:dyDescent="0.4">
      <c r="A9668" s="4"/>
      <c r="B9668" s="4"/>
      <c r="D9668" s="4"/>
      <c r="E9668" s="4"/>
      <c r="F9668" s="4"/>
    </row>
    <row r="9669" spans="1:6" x14ac:dyDescent="0.4">
      <c r="A9669" s="4"/>
      <c r="B9669" s="4"/>
      <c r="D9669" s="4"/>
      <c r="E9669" s="4"/>
      <c r="F9669" s="4"/>
    </row>
    <row r="9670" spans="1:6" x14ac:dyDescent="0.4">
      <c r="A9670" s="4"/>
      <c r="B9670" s="4"/>
      <c r="D9670" s="4"/>
      <c r="E9670" s="4"/>
      <c r="F9670" s="4"/>
    </row>
    <row r="9671" spans="1:6" x14ac:dyDescent="0.4">
      <c r="A9671" s="4"/>
      <c r="B9671" s="4"/>
      <c r="D9671" s="4"/>
      <c r="E9671" s="4"/>
      <c r="F9671" s="4"/>
    </row>
    <row r="9672" spans="1:6" x14ac:dyDescent="0.4">
      <c r="A9672" s="4"/>
      <c r="B9672" s="4"/>
      <c r="D9672" s="4"/>
      <c r="E9672" s="4"/>
      <c r="F9672" s="4"/>
    </row>
    <row r="9673" spans="1:6" x14ac:dyDescent="0.4">
      <c r="A9673" s="4"/>
      <c r="B9673" s="4"/>
      <c r="D9673" s="4"/>
      <c r="E9673" s="4"/>
      <c r="F9673" s="4"/>
    </row>
    <row r="9674" spans="1:6" x14ac:dyDescent="0.4">
      <c r="A9674" s="4"/>
      <c r="B9674" s="4"/>
      <c r="D9674" s="4"/>
      <c r="E9674" s="4"/>
      <c r="F9674" s="4"/>
    </row>
    <row r="9675" spans="1:6" x14ac:dyDescent="0.4">
      <c r="A9675" s="4"/>
      <c r="B9675" s="4"/>
      <c r="D9675" s="4"/>
      <c r="E9675" s="4"/>
      <c r="F9675" s="4"/>
    </row>
    <row r="9676" spans="1:6" x14ac:dyDescent="0.4">
      <c r="A9676" s="4"/>
      <c r="B9676" s="4"/>
      <c r="D9676" s="4"/>
      <c r="E9676" s="4"/>
      <c r="F9676" s="4"/>
    </row>
    <row r="9677" spans="1:6" x14ac:dyDescent="0.4">
      <c r="A9677" s="4"/>
      <c r="B9677" s="4"/>
      <c r="D9677" s="4"/>
      <c r="E9677" s="4"/>
      <c r="F9677" s="4"/>
    </row>
    <row r="9678" spans="1:6" x14ac:dyDescent="0.4">
      <c r="A9678" s="4"/>
      <c r="B9678" s="4"/>
      <c r="D9678" s="4"/>
      <c r="E9678" s="4"/>
      <c r="F9678" s="4"/>
    </row>
    <row r="9679" spans="1:6" x14ac:dyDescent="0.4">
      <c r="A9679" s="4"/>
      <c r="B9679" s="4"/>
      <c r="D9679" s="4"/>
      <c r="E9679" s="4"/>
      <c r="F9679" s="4"/>
    </row>
    <row r="9680" spans="1:6" x14ac:dyDescent="0.4">
      <c r="A9680" s="4"/>
      <c r="B9680" s="4"/>
      <c r="D9680" s="4"/>
      <c r="E9680" s="4"/>
      <c r="F9680" s="4"/>
    </row>
    <row r="9681" spans="1:6" x14ac:dyDescent="0.4">
      <c r="A9681" s="4"/>
      <c r="B9681" s="4"/>
      <c r="D9681" s="4"/>
      <c r="E9681" s="4"/>
      <c r="F9681" s="4"/>
    </row>
    <row r="9682" spans="1:6" x14ac:dyDescent="0.4">
      <c r="A9682" s="4"/>
      <c r="B9682" s="4"/>
      <c r="D9682" s="4"/>
      <c r="E9682" s="4"/>
      <c r="F9682" s="4"/>
    </row>
    <row r="9683" spans="1:6" x14ac:dyDescent="0.4">
      <c r="A9683" s="4"/>
      <c r="B9683" s="4"/>
      <c r="D9683" s="4"/>
      <c r="E9683" s="4"/>
      <c r="F9683" s="4"/>
    </row>
    <row r="9684" spans="1:6" x14ac:dyDescent="0.4">
      <c r="A9684" s="4"/>
      <c r="B9684" s="4"/>
      <c r="D9684" s="4"/>
      <c r="E9684" s="4"/>
      <c r="F9684" s="4"/>
    </row>
    <row r="9685" spans="1:6" x14ac:dyDescent="0.4">
      <c r="A9685" s="4"/>
      <c r="B9685" s="4"/>
      <c r="D9685" s="4"/>
      <c r="E9685" s="4"/>
      <c r="F9685" s="4"/>
    </row>
    <row r="9686" spans="1:6" x14ac:dyDescent="0.4">
      <c r="A9686" s="4"/>
      <c r="B9686" s="4"/>
      <c r="D9686" s="4"/>
      <c r="E9686" s="4"/>
      <c r="F9686" s="4"/>
    </row>
    <row r="9687" spans="1:6" x14ac:dyDescent="0.4">
      <c r="A9687" s="4"/>
      <c r="B9687" s="4"/>
      <c r="D9687" s="4"/>
      <c r="E9687" s="4"/>
      <c r="F9687" s="4"/>
    </row>
    <row r="9688" spans="1:6" x14ac:dyDescent="0.4">
      <c r="A9688" s="4"/>
      <c r="B9688" s="4"/>
      <c r="D9688" s="4"/>
      <c r="E9688" s="4"/>
      <c r="F9688" s="4"/>
    </row>
    <row r="9689" spans="1:6" x14ac:dyDescent="0.4">
      <c r="A9689" s="4"/>
      <c r="B9689" s="4"/>
      <c r="D9689" s="4"/>
      <c r="E9689" s="4"/>
      <c r="F9689" s="4"/>
    </row>
    <row r="9690" spans="1:6" x14ac:dyDescent="0.4">
      <c r="A9690" s="4"/>
      <c r="B9690" s="4"/>
      <c r="D9690" s="4"/>
      <c r="E9690" s="4"/>
      <c r="F9690" s="4"/>
    </row>
    <row r="9691" spans="1:6" x14ac:dyDescent="0.4">
      <c r="A9691" s="4"/>
      <c r="B9691" s="4"/>
      <c r="D9691" s="4"/>
      <c r="E9691" s="4"/>
      <c r="F9691" s="4"/>
    </row>
    <row r="9692" spans="1:6" x14ac:dyDescent="0.4">
      <c r="A9692" s="4"/>
      <c r="B9692" s="4"/>
      <c r="D9692" s="4"/>
      <c r="E9692" s="4"/>
      <c r="F9692" s="4"/>
    </row>
    <row r="9693" spans="1:6" x14ac:dyDescent="0.4">
      <c r="A9693" s="4"/>
      <c r="B9693" s="4"/>
      <c r="D9693" s="4"/>
      <c r="E9693" s="4"/>
      <c r="F9693" s="4"/>
    </row>
    <row r="9694" spans="1:6" x14ac:dyDescent="0.4">
      <c r="A9694" s="4"/>
      <c r="B9694" s="4"/>
      <c r="D9694" s="4"/>
      <c r="E9694" s="4"/>
      <c r="F9694" s="4"/>
    </row>
    <row r="9695" spans="1:6" x14ac:dyDescent="0.4">
      <c r="A9695" s="4"/>
      <c r="B9695" s="4"/>
      <c r="D9695" s="4"/>
      <c r="E9695" s="4"/>
      <c r="F9695" s="4"/>
    </row>
    <row r="9696" spans="1:6" x14ac:dyDescent="0.4">
      <c r="A9696" s="4"/>
      <c r="B9696" s="4"/>
      <c r="D9696" s="4"/>
      <c r="E9696" s="4"/>
      <c r="F9696" s="4"/>
    </row>
    <row r="9697" spans="1:6" x14ac:dyDescent="0.4">
      <c r="A9697" s="4"/>
      <c r="B9697" s="4"/>
      <c r="D9697" s="4"/>
      <c r="E9697" s="4"/>
      <c r="F9697" s="4"/>
    </row>
    <row r="9698" spans="1:6" x14ac:dyDescent="0.4">
      <c r="A9698" s="4"/>
      <c r="B9698" s="4"/>
      <c r="D9698" s="4"/>
      <c r="E9698" s="4"/>
      <c r="F9698" s="4"/>
    </row>
    <row r="9699" spans="1:6" x14ac:dyDescent="0.4">
      <c r="A9699" s="4"/>
      <c r="B9699" s="4"/>
      <c r="D9699" s="4"/>
      <c r="E9699" s="4"/>
      <c r="F9699" s="4"/>
    </row>
    <row r="9700" spans="1:6" x14ac:dyDescent="0.4">
      <c r="A9700" s="4"/>
      <c r="B9700" s="4"/>
      <c r="D9700" s="4"/>
      <c r="E9700" s="4"/>
      <c r="F9700" s="4"/>
    </row>
    <row r="9701" spans="1:6" x14ac:dyDescent="0.4">
      <c r="A9701" s="4"/>
      <c r="B9701" s="4"/>
      <c r="D9701" s="4"/>
      <c r="E9701" s="4"/>
      <c r="F9701" s="4"/>
    </row>
    <row r="9702" spans="1:6" x14ac:dyDescent="0.4">
      <c r="A9702" s="4"/>
      <c r="B9702" s="4"/>
      <c r="D9702" s="4"/>
      <c r="E9702" s="4"/>
      <c r="F9702" s="4"/>
    </row>
    <row r="9703" spans="1:6" x14ac:dyDescent="0.4">
      <c r="A9703" s="4"/>
      <c r="B9703" s="4"/>
      <c r="D9703" s="4"/>
      <c r="E9703" s="4"/>
      <c r="F9703" s="4"/>
    </row>
    <row r="9704" spans="1:6" x14ac:dyDescent="0.4">
      <c r="A9704" s="4"/>
      <c r="B9704" s="4"/>
      <c r="D9704" s="4"/>
      <c r="E9704" s="4"/>
      <c r="F9704" s="4"/>
    </row>
    <row r="9705" spans="1:6" x14ac:dyDescent="0.4">
      <c r="A9705" s="4"/>
      <c r="B9705" s="4"/>
      <c r="D9705" s="4"/>
      <c r="E9705" s="4"/>
      <c r="F9705" s="4"/>
    </row>
    <row r="9706" spans="1:6" x14ac:dyDescent="0.4">
      <c r="A9706" s="4"/>
      <c r="B9706" s="4"/>
      <c r="D9706" s="4"/>
      <c r="E9706" s="4"/>
      <c r="F9706" s="4"/>
    </row>
    <row r="9707" spans="1:6" x14ac:dyDescent="0.4">
      <c r="A9707" s="4"/>
      <c r="B9707" s="4"/>
      <c r="D9707" s="4"/>
      <c r="E9707" s="4"/>
      <c r="F9707" s="4"/>
    </row>
    <row r="9708" spans="1:6" x14ac:dyDescent="0.4">
      <c r="A9708" s="4"/>
      <c r="B9708" s="4"/>
      <c r="D9708" s="4"/>
      <c r="E9708" s="4"/>
      <c r="F9708" s="4"/>
    </row>
    <row r="9709" spans="1:6" x14ac:dyDescent="0.4">
      <c r="A9709" s="4"/>
      <c r="B9709" s="4"/>
      <c r="D9709" s="4"/>
      <c r="E9709" s="4"/>
      <c r="F9709" s="4"/>
    </row>
    <row r="9710" spans="1:6" x14ac:dyDescent="0.4">
      <c r="A9710" s="4"/>
      <c r="B9710" s="4"/>
      <c r="D9710" s="4"/>
      <c r="E9710" s="4"/>
      <c r="F9710" s="4"/>
    </row>
    <row r="9711" spans="1:6" x14ac:dyDescent="0.4">
      <c r="A9711" s="4"/>
      <c r="B9711" s="4"/>
      <c r="D9711" s="4"/>
      <c r="E9711" s="4"/>
      <c r="F9711" s="4"/>
    </row>
    <row r="9712" spans="1:6" x14ac:dyDescent="0.4">
      <c r="A9712" s="4"/>
      <c r="B9712" s="4"/>
      <c r="D9712" s="4"/>
      <c r="E9712" s="4"/>
      <c r="F9712" s="4"/>
    </row>
    <row r="9713" spans="1:6" x14ac:dyDescent="0.4">
      <c r="A9713" s="4"/>
      <c r="B9713" s="4"/>
      <c r="D9713" s="4"/>
      <c r="E9713" s="4"/>
      <c r="F9713" s="4"/>
    </row>
    <row r="9714" spans="1:6" x14ac:dyDescent="0.4">
      <c r="A9714" s="4"/>
      <c r="B9714" s="4"/>
      <c r="D9714" s="4"/>
      <c r="E9714" s="4"/>
      <c r="F9714" s="4"/>
    </row>
    <row r="9715" spans="1:6" x14ac:dyDescent="0.4">
      <c r="A9715" s="4"/>
      <c r="B9715" s="4"/>
      <c r="D9715" s="4"/>
      <c r="E9715" s="4"/>
      <c r="F9715" s="4"/>
    </row>
    <row r="9716" spans="1:6" x14ac:dyDescent="0.4">
      <c r="A9716" s="4"/>
      <c r="B9716" s="4"/>
      <c r="D9716" s="4"/>
      <c r="E9716" s="4"/>
      <c r="F9716" s="4"/>
    </row>
    <row r="9717" spans="1:6" x14ac:dyDescent="0.4">
      <c r="A9717" s="4"/>
      <c r="B9717" s="4"/>
      <c r="D9717" s="4"/>
      <c r="E9717" s="4"/>
      <c r="F9717" s="4"/>
    </row>
    <row r="9718" spans="1:6" x14ac:dyDescent="0.4">
      <c r="A9718" s="4"/>
      <c r="B9718" s="4"/>
      <c r="D9718" s="4"/>
      <c r="E9718" s="4"/>
      <c r="F9718" s="4"/>
    </row>
    <row r="9719" spans="1:6" x14ac:dyDescent="0.4">
      <c r="A9719" s="4"/>
      <c r="B9719" s="4"/>
      <c r="D9719" s="4"/>
      <c r="E9719" s="4"/>
      <c r="F9719" s="4"/>
    </row>
    <row r="9720" spans="1:6" x14ac:dyDescent="0.4">
      <c r="A9720" s="4"/>
      <c r="B9720" s="4"/>
      <c r="D9720" s="4"/>
      <c r="E9720" s="4"/>
      <c r="F9720" s="4"/>
    </row>
    <row r="9721" spans="1:6" x14ac:dyDescent="0.4">
      <c r="A9721" s="4"/>
      <c r="B9721" s="4"/>
      <c r="D9721" s="4"/>
      <c r="E9721" s="4"/>
      <c r="F9721" s="4"/>
    </row>
    <row r="9722" spans="1:6" x14ac:dyDescent="0.4">
      <c r="A9722" s="4"/>
      <c r="B9722" s="4"/>
      <c r="D9722" s="4"/>
      <c r="E9722" s="4"/>
      <c r="F9722" s="4"/>
    </row>
    <row r="9723" spans="1:6" x14ac:dyDescent="0.4">
      <c r="A9723" s="4"/>
      <c r="B9723" s="4"/>
      <c r="D9723" s="4"/>
      <c r="E9723" s="4"/>
      <c r="F9723" s="4"/>
    </row>
    <row r="9724" spans="1:6" x14ac:dyDescent="0.4">
      <c r="A9724" s="4"/>
      <c r="B9724" s="4"/>
      <c r="D9724" s="4"/>
      <c r="E9724" s="4"/>
      <c r="F9724" s="4"/>
    </row>
    <row r="9725" spans="1:6" x14ac:dyDescent="0.4">
      <c r="A9725" s="4"/>
      <c r="B9725" s="4"/>
      <c r="D9725" s="4"/>
      <c r="E9725" s="4"/>
      <c r="F9725" s="4"/>
    </row>
    <row r="9726" spans="1:6" x14ac:dyDescent="0.4">
      <c r="A9726" s="4"/>
      <c r="B9726" s="4"/>
      <c r="D9726" s="4"/>
      <c r="E9726" s="4"/>
      <c r="F9726" s="4"/>
    </row>
    <row r="9727" spans="1:6" x14ac:dyDescent="0.4">
      <c r="A9727" s="4"/>
      <c r="B9727" s="4"/>
      <c r="D9727" s="4"/>
      <c r="E9727" s="4"/>
      <c r="F9727" s="4"/>
    </row>
    <row r="9728" spans="1:6" x14ac:dyDescent="0.4">
      <c r="A9728" s="4"/>
      <c r="B9728" s="4"/>
      <c r="D9728" s="4"/>
      <c r="E9728" s="4"/>
      <c r="F9728" s="4"/>
    </row>
    <row r="9729" spans="1:6" x14ac:dyDescent="0.4">
      <c r="A9729" s="4"/>
      <c r="B9729" s="4"/>
      <c r="D9729" s="4"/>
      <c r="E9729" s="4"/>
      <c r="F9729" s="4"/>
    </row>
    <row r="9730" spans="1:6" x14ac:dyDescent="0.4">
      <c r="A9730" s="4"/>
      <c r="B9730" s="4"/>
      <c r="D9730" s="4"/>
      <c r="E9730" s="4"/>
      <c r="F9730" s="4"/>
    </row>
    <row r="9731" spans="1:6" x14ac:dyDescent="0.4">
      <c r="A9731" s="4"/>
      <c r="B9731" s="4"/>
      <c r="D9731" s="4"/>
      <c r="E9731" s="4"/>
      <c r="F9731" s="4"/>
    </row>
    <row r="9732" spans="1:6" x14ac:dyDescent="0.4">
      <c r="A9732" s="4"/>
      <c r="B9732" s="4"/>
      <c r="D9732" s="4"/>
      <c r="E9732" s="4"/>
      <c r="F9732" s="4"/>
    </row>
    <row r="9733" spans="1:6" x14ac:dyDescent="0.4">
      <c r="A9733" s="4"/>
      <c r="B9733" s="4"/>
      <c r="D9733" s="4"/>
      <c r="E9733" s="4"/>
      <c r="F9733" s="4"/>
    </row>
    <row r="9734" spans="1:6" x14ac:dyDescent="0.4">
      <c r="A9734" s="4"/>
      <c r="B9734" s="4"/>
      <c r="D9734" s="4"/>
      <c r="E9734" s="4"/>
      <c r="F9734" s="4"/>
    </row>
    <row r="9735" spans="1:6" x14ac:dyDescent="0.4">
      <c r="A9735" s="4"/>
      <c r="B9735" s="4"/>
      <c r="D9735" s="4"/>
      <c r="E9735" s="4"/>
      <c r="F9735" s="4"/>
    </row>
    <row r="9736" spans="1:6" x14ac:dyDescent="0.4">
      <c r="A9736" s="4"/>
      <c r="B9736" s="4"/>
      <c r="D9736" s="4"/>
      <c r="E9736" s="4"/>
      <c r="F9736" s="4"/>
    </row>
    <row r="9737" spans="1:6" x14ac:dyDescent="0.4">
      <c r="A9737" s="4"/>
      <c r="B9737" s="4"/>
      <c r="D9737" s="4"/>
      <c r="E9737" s="4"/>
      <c r="F9737" s="4"/>
    </row>
    <row r="9738" spans="1:6" x14ac:dyDescent="0.4">
      <c r="A9738" s="4"/>
      <c r="B9738" s="4"/>
      <c r="D9738" s="4"/>
      <c r="E9738" s="4"/>
      <c r="F9738" s="4"/>
    </row>
    <row r="9739" spans="1:6" x14ac:dyDescent="0.4">
      <c r="A9739" s="4"/>
      <c r="B9739" s="4"/>
      <c r="D9739" s="4"/>
      <c r="E9739" s="4"/>
      <c r="F9739" s="4"/>
    </row>
    <row r="9740" spans="1:6" x14ac:dyDescent="0.4">
      <c r="A9740" s="4"/>
      <c r="B9740" s="4"/>
      <c r="D9740" s="4"/>
      <c r="E9740" s="4"/>
      <c r="F9740" s="4"/>
    </row>
    <row r="9741" spans="1:6" x14ac:dyDescent="0.4">
      <c r="A9741" s="4"/>
      <c r="B9741" s="4"/>
      <c r="D9741" s="4"/>
      <c r="E9741" s="4"/>
      <c r="F9741" s="4"/>
    </row>
    <row r="9742" spans="1:6" x14ac:dyDescent="0.4">
      <c r="A9742" s="4"/>
      <c r="B9742" s="4"/>
      <c r="D9742" s="4"/>
      <c r="E9742" s="4"/>
      <c r="F9742" s="4"/>
    </row>
    <row r="9743" spans="1:6" x14ac:dyDescent="0.4">
      <c r="A9743" s="4"/>
      <c r="B9743" s="4"/>
      <c r="D9743" s="4"/>
      <c r="E9743" s="4"/>
      <c r="F9743" s="4"/>
    </row>
    <row r="9744" spans="1:6" x14ac:dyDescent="0.4">
      <c r="A9744" s="4"/>
      <c r="B9744" s="4"/>
      <c r="D9744" s="4"/>
      <c r="E9744" s="4"/>
      <c r="F9744" s="4"/>
    </row>
    <row r="9745" spans="1:6" x14ac:dyDescent="0.4">
      <c r="A9745" s="4"/>
      <c r="B9745" s="4"/>
      <c r="D9745" s="4"/>
      <c r="E9745" s="4"/>
      <c r="F9745" s="4"/>
    </row>
    <row r="9746" spans="1:6" x14ac:dyDescent="0.4">
      <c r="A9746" s="4"/>
      <c r="B9746" s="4"/>
      <c r="D9746" s="4"/>
      <c r="E9746" s="4"/>
      <c r="F9746" s="4"/>
    </row>
    <row r="9747" spans="1:6" x14ac:dyDescent="0.4">
      <c r="A9747" s="4"/>
      <c r="B9747" s="4"/>
      <c r="D9747" s="4"/>
      <c r="E9747" s="4"/>
      <c r="F9747" s="4"/>
    </row>
    <row r="9748" spans="1:6" x14ac:dyDescent="0.4">
      <c r="A9748" s="4"/>
      <c r="B9748" s="4"/>
      <c r="D9748" s="4"/>
      <c r="E9748" s="4"/>
      <c r="F9748" s="4"/>
    </row>
    <row r="9749" spans="1:6" x14ac:dyDescent="0.4">
      <c r="A9749" s="4"/>
      <c r="B9749" s="4"/>
      <c r="D9749" s="4"/>
      <c r="E9749" s="4"/>
      <c r="F9749" s="4"/>
    </row>
    <row r="9750" spans="1:6" x14ac:dyDescent="0.4">
      <c r="A9750" s="4"/>
      <c r="B9750" s="4"/>
      <c r="D9750" s="4"/>
      <c r="E9750" s="4"/>
      <c r="F9750" s="4"/>
    </row>
    <row r="9751" spans="1:6" x14ac:dyDescent="0.4">
      <c r="A9751" s="4"/>
      <c r="B9751" s="4"/>
      <c r="D9751" s="4"/>
      <c r="E9751" s="4"/>
      <c r="F9751" s="4"/>
    </row>
    <row r="9752" spans="1:6" x14ac:dyDescent="0.4">
      <c r="A9752" s="4"/>
      <c r="B9752" s="4"/>
      <c r="D9752" s="4"/>
      <c r="E9752" s="4"/>
      <c r="F9752" s="4"/>
    </row>
    <row r="9753" spans="1:6" x14ac:dyDescent="0.4">
      <c r="A9753" s="4"/>
      <c r="B9753" s="4"/>
      <c r="D9753" s="4"/>
      <c r="E9753" s="4"/>
      <c r="F9753" s="4"/>
    </row>
    <row r="9754" spans="1:6" x14ac:dyDescent="0.4">
      <c r="A9754" s="4"/>
      <c r="B9754" s="4"/>
      <c r="D9754" s="4"/>
      <c r="E9754" s="4"/>
      <c r="F9754" s="4"/>
    </row>
    <row r="9755" spans="1:6" x14ac:dyDescent="0.4">
      <c r="A9755" s="4"/>
      <c r="B9755" s="4"/>
      <c r="D9755" s="4"/>
      <c r="E9755" s="4"/>
      <c r="F9755" s="4"/>
    </row>
    <row r="9756" spans="1:6" x14ac:dyDescent="0.4">
      <c r="A9756" s="4"/>
      <c r="B9756" s="4"/>
      <c r="D9756" s="4"/>
      <c r="E9756" s="4"/>
      <c r="F9756" s="4"/>
    </row>
    <row r="9757" spans="1:6" x14ac:dyDescent="0.4">
      <c r="A9757" s="4"/>
      <c r="B9757" s="4"/>
      <c r="D9757" s="4"/>
      <c r="E9757" s="4"/>
      <c r="F9757" s="4"/>
    </row>
    <row r="9758" spans="1:6" x14ac:dyDescent="0.4">
      <c r="A9758" s="4"/>
      <c r="B9758" s="4"/>
      <c r="D9758" s="4"/>
      <c r="E9758" s="4"/>
      <c r="F9758" s="4"/>
    </row>
    <row r="9759" spans="1:6" x14ac:dyDescent="0.4">
      <c r="A9759" s="4"/>
      <c r="B9759" s="4"/>
      <c r="D9759" s="4"/>
      <c r="E9759" s="4"/>
      <c r="F9759" s="4"/>
    </row>
    <row r="9760" spans="1:6" x14ac:dyDescent="0.4">
      <c r="A9760" s="4"/>
      <c r="B9760" s="4"/>
      <c r="D9760" s="4"/>
      <c r="E9760" s="4"/>
      <c r="F9760" s="4"/>
    </row>
    <row r="9761" spans="1:6" x14ac:dyDescent="0.4">
      <c r="A9761" s="4"/>
      <c r="B9761" s="4"/>
      <c r="D9761" s="4"/>
      <c r="E9761" s="4"/>
      <c r="F9761" s="4"/>
    </row>
    <row r="9762" spans="1:6" x14ac:dyDescent="0.4">
      <c r="A9762" s="4"/>
      <c r="B9762" s="4"/>
      <c r="D9762" s="4"/>
      <c r="E9762" s="4"/>
      <c r="F9762" s="4"/>
    </row>
    <row r="9763" spans="1:6" x14ac:dyDescent="0.4">
      <c r="A9763" s="4"/>
      <c r="B9763" s="4"/>
      <c r="D9763" s="4"/>
      <c r="E9763" s="4"/>
      <c r="F9763" s="4"/>
    </row>
    <row r="9764" spans="1:6" x14ac:dyDescent="0.4">
      <c r="A9764" s="4"/>
      <c r="B9764" s="4"/>
      <c r="D9764" s="4"/>
      <c r="E9764" s="4"/>
      <c r="F9764" s="4"/>
    </row>
    <row r="9765" spans="1:6" x14ac:dyDescent="0.4">
      <c r="A9765" s="4"/>
      <c r="B9765" s="4"/>
      <c r="D9765" s="4"/>
      <c r="E9765" s="4"/>
      <c r="F9765" s="4"/>
    </row>
    <row r="9766" spans="1:6" x14ac:dyDescent="0.4">
      <c r="A9766" s="4"/>
      <c r="B9766" s="4"/>
      <c r="D9766" s="4"/>
      <c r="E9766" s="4"/>
      <c r="F9766" s="4"/>
    </row>
    <row r="9767" spans="1:6" x14ac:dyDescent="0.4">
      <c r="A9767" s="4"/>
      <c r="B9767" s="4"/>
      <c r="D9767" s="4"/>
      <c r="E9767" s="4"/>
      <c r="F9767" s="4"/>
    </row>
    <row r="9768" spans="1:6" x14ac:dyDescent="0.4">
      <c r="A9768" s="4"/>
      <c r="B9768" s="4"/>
      <c r="D9768" s="4"/>
      <c r="E9768" s="4"/>
      <c r="F9768" s="4"/>
    </row>
    <row r="9769" spans="1:6" x14ac:dyDescent="0.4">
      <c r="A9769" s="4"/>
      <c r="B9769" s="4"/>
      <c r="D9769" s="4"/>
      <c r="E9769" s="4"/>
      <c r="F9769" s="4"/>
    </row>
    <row r="9770" spans="1:6" x14ac:dyDescent="0.4">
      <c r="A9770" s="4"/>
      <c r="B9770" s="4"/>
      <c r="D9770" s="4"/>
      <c r="E9770" s="4"/>
      <c r="F9770" s="4"/>
    </row>
    <row r="9771" spans="1:6" x14ac:dyDescent="0.4">
      <c r="A9771" s="4"/>
      <c r="B9771" s="4"/>
      <c r="D9771" s="4"/>
      <c r="E9771" s="4"/>
      <c r="F9771" s="4"/>
    </row>
    <row r="9772" spans="1:6" x14ac:dyDescent="0.4">
      <c r="A9772" s="4"/>
      <c r="B9772" s="4"/>
      <c r="D9772" s="4"/>
      <c r="E9772" s="4"/>
      <c r="F9772" s="4"/>
    </row>
    <row r="9773" spans="1:6" x14ac:dyDescent="0.4">
      <c r="A9773" s="4"/>
      <c r="B9773" s="4"/>
      <c r="D9773" s="4"/>
      <c r="E9773" s="4"/>
      <c r="F9773" s="4"/>
    </row>
    <row r="9774" spans="1:6" x14ac:dyDescent="0.4">
      <c r="A9774" s="4"/>
      <c r="B9774" s="4"/>
      <c r="D9774" s="4"/>
      <c r="E9774" s="4"/>
      <c r="F9774" s="4"/>
    </row>
    <row r="9775" spans="1:6" x14ac:dyDescent="0.4">
      <c r="A9775" s="4"/>
      <c r="B9775" s="4"/>
      <c r="D9775" s="4"/>
      <c r="E9775" s="4"/>
      <c r="F9775" s="4"/>
    </row>
    <row r="9776" spans="1:6" x14ac:dyDescent="0.4">
      <c r="A9776" s="4"/>
      <c r="B9776" s="4"/>
      <c r="D9776" s="4"/>
      <c r="E9776" s="4"/>
      <c r="F9776" s="4"/>
    </row>
    <row r="9777" spans="1:6" x14ac:dyDescent="0.4">
      <c r="A9777" s="4"/>
      <c r="B9777" s="4"/>
      <c r="D9777" s="4"/>
      <c r="E9777" s="4"/>
      <c r="F9777" s="4"/>
    </row>
    <row r="9778" spans="1:6" x14ac:dyDescent="0.4">
      <c r="A9778" s="4"/>
      <c r="B9778" s="4"/>
      <c r="D9778" s="4"/>
      <c r="E9778" s="4"/>
      <c r="F9778" s="4"/>
    </row>
    <row r="9779" spans="1:6" x14ac:dyDescent="0.4">
      <c r="A9779" s="4"/>
      <c r="B9779" s="4"/>
      <c r="D9779" s="4"/>
      <c r="E9779" s="4"/>
      <c r="F9779" s="4"/>
    </row>
    <row r="9780" spans="1:6" x14ac:dyDescent="0.4">
      <c r="A9780" s="4"/>
      <c r="B9780" s="4"/>
      <c r="D9780" s="4"/>
      <c r="E9780" s="4"/>
      <c r="F9780" s="4"/>
    </row>
    <row r="9781" spans="1:6" x14ac:dyDescent="0.4">
      <c r="A9781" s="4"/>
      <c r="B9781" s="4"/>
      <c r="D9781" s="4"/>
      <c r="E9781" s="4"/>
      <c r="F9781" s="4"/>
    </row>
    <row r="9782" spans="1:6" x14ac:dyDescent="0.4">
      <c r="A9782" s="4"/>
      <c r="B9782" s="4"/>
      <c r="D9782" s="4"/>
      <c r="E9782" s="4"/>
      <c r="F9782" s="4"/>
    </row>
    <row r="9783" spans="1:6" x14ac:dyDescent="0.4">
      <c r="A9783" s="4"/>
      <c r="B9783" s="4"/>
      <c r="D9783" s="4"/>
      <c r="E9783" s="4"/>
      <c r="F9783" s="4"/>
    </row>
    <row r="9784" spans="1:6" x14ac:dyDescent="0.4">
      <c r="A9784" s="4"/>
      <c r="B9784" s="4"/>
      <c r="D9784" s="4"/>
      <c r="E9784" s="4"/>
      <c r="F9784" s="4"/>
    </row>
    <row r="9785" spans="1:6" x14ac:dyDescent="0.4">
      <c r="A9785" s="4"/>
      <c r="B9785" s="4"/>
      <c r="D9785" s="4"/>
      <c r="E9785" s="4"/>
      <c r="F9785" s="4"/>
    </row>
    <row r="9786" spans="1:6" x14ac:dyDescent="0.4">
      <c r="A9786" s="4"/>
      <c r="B9786" s="4"/>
      <c r="D9786" s="4"/>
      <c r="E9786" s="4"/>
      <c r="F9786" s="4"/>
    </row>
    <row r="9787" spans="1:6" x14ac:dyDescent="0.4">
      <c r="A9787" s="4"/>
      <c r="B9787" s="4"/>
      <c r="D9787" s="4"/>
      <c r="E9787" s="4"/>
      <c r="F9787" s="4"/>
    </row>
    <row r="9788" spans="1:6" x14ac:dyDescent="0.4">
      <c r="A9788" s="4"/>
      <c r="B9788" s="4"/>
      <c r="D9788" s="4"/>
      <c r="E9788" s="4"/>
      <c r="F9788" s="4"/>
    </row>
    <row r="9789" spans="1:6" x14ac:dyDescent="0.4">
      <c r="A9789" s="4"/>
      <c r="B9789" s="4"/>
      <c r="D9789" s="4"/>
      <c r="E9789" s="4"/>
      <c r="F9789" s="4"/>
    </row>
    <row r="9790" spans="1:6" x14ac:dyDescent="0.4">
      <c r="A9790" s="4"/>
      <c r="B9790" s="4"/>
      <c r="D9790" s="4"/>
      <c r="E9790" s="4"/>
      <c r="F9790" s="4"/>
    </row>
    <row r="9791" spans="1:6" x14ac:dyDescent="0.4">
      <c r="A9791" s="4"/>
      <c r="B9791" s="4"/>
      <c r="D9791" s="4"/>
      <c r="E9791" s="4"/>
      <c r="F9791" s="4"/>
    </row>
    <row r="9792" spans="1:6" x14ac:dyDescent="0.4">
      <c r="A9792" s="4"/>
      <c r="B9792" s="4"/>
      <c r="D9792" s="4"/>
      <c r="E9792" s="4"/>
      <c r="F9792" s="4"/>
    </row>
    <row r="9793" spans="1:6" x14ac:dyDescent="0.4">
      <c r="A9793" s="4"/>
      <c r="B9793" s="4"/>
      <c r="D9793" s="4"/>
      <c r="E9793" s="4"/>
      <c r="F9793" s="4"/>
    </row>
    <row r="9794" spans="1:6" x14ac:dyDescent="0.4">
      <c r="A9794" s="4"/>
      <c r="B9794" s="4"/>
      <c r="D9794" s="4"/>
      <c r="E9794" s="4"/>
      <c r="F9794" s="4"/>
    </row>
    <row r="9795" spans="1:6" x14ac:dyDescent="0.4">
      <c r="A9795" s="4"/>
      <c r="B9795" s="4"/>
      <c r="D9795" s="4"/>
      <c r="E9795" s="4"/>
      <c r="F9795" s="4"/>
    </row>
    <row r="9796" spans="1:6" x14ac:dyDescent="0.4">
      <c r="A9796" s="4"/>
      <c r="B9796" s="4"/>
      <c r="D9796" s="4"/>
      <c r="E9796" s="4"/>
      <c r="F9796" s="4"/>
    </row>
    <row r="9797" spans="1:6" x14ac:dyDescent="0.4">
      <c r="A9797" s="4"/>
      <c r="B9797" s="4"/>
      <c r="D9797" s="4"/>
      <c r="E9797" s="4"/>
      <c r="F9797" s="4"/>
    </row>
    <row r="9798" spans="1:6" x14ac:dyDescent="0.4">
      <c r="A9798" s="4"/>
      <c r="B9798" s="4"/>
      <c r="D9798" s="4"/>
      <c r="E9798" s="4"/>
      <c r="F9798" s="4"/>
    </row>
    <row r="9799" spans="1:6" x14ac:dyDescent="0.4">
      <c r="A9799" s="4"/>
      <c r="B9799" s="4"/>
      <c r="D9799" s="4"/>
      <c r="E9799" s="4"/>
      <c r="F9799" s="4"/>
    </row>
    <row r="9800" spans="1:6" x14ac:dyDescent="0.4">
      <c r="A9800" s="4"/>
      <c r="B9800" s="4"/>
      <c r="D9800" s="4"/>
      <c r="E9800" s="4"/>
      <c r="F9800" s="4"/>
    </row>
    <row r="9801" spans="1:6" x14ac:dyDescent="0.4">
      <c r="A9801" s="4"/>
      <c r="B9801" s="4"/>
      <c r="D9801" s="4"/>
      <c r="E9801" s="4"/>
      <c r="F9801" s="4"/>
    </row>
    <row r="9802" spans="1:6" x14ac:dyDescent="0.4">
      <c r="A9802" s="4"/>
      <c r="B9802" s="4"/>
      <c r="D9802" s="4"/>
      <c r="E9802" s="4"/>
      <c r="F9802" s="4"/>
    </row>
    <row r="9803" spans="1:6" x14ac:dyDescent="0.4">
      <c r="A9803" s="4"/>
      <c r="B9803" s="4"/>
      <c r="D9803" s="4"/>
      <c r="E9803" s="4"/>
      <c r="F9803" s="4"/>
    </row>
    <row r="9804" spans="1:6" x14ac:dyDescent="0.4">
      <c r="A9804" s="4"/>
      <c r="B9804" s="4"/>
      <c r="D9804" s="4"/>
      <c r="E9804" s="4"/>
      <c r="F9804" s="4"/>
    </row>
    <row r="9805" spans="1:6" x14ac:dyDescent="0.4">
      <c r="A9805" s="4"/>
      <c r="B9805" s="4"/>
      <c r="D9805" s="4"/>
      <c r="E9805" s="4"/>
      <c r="F9805" s="4"/>
    </row>
    <row r="9806" spans="1:6" x14ac:dyDescent="0.4">
      <c r="A9806" s="4"/>
      <c r="B9806" s="4"/>
      <c r="D9806" s="4"/>
      <c r="E9806" s="4"/>
      <c r="F9806" s="4"/>
    </row>
    <row r="9807" spans="1:6" x14ac:dyDescent="0.4">
      <c r="A9807" s="4"/>
      <c r="B9807" s="4"/>
      <c r="D9807" s="4"/>
      <c r="E9807" s="4"/>
      <c r="F9807" s="4"/>
    </row>
    <row r="9808" spans="1:6" x14ac:dyDescent="0.4">
      <c r="A9808" s="4"/>
      <c r="B9808" s="4"/>
      <c r="D9808" s="4"/>
      <c r="E9808" s="4"/>
      <c r="F9808" s="4"/>
    </row>
    <row r="9809" spans="1:6" x14ac:dyDescent="0.4">
      <c r="A9809" s="4"/>
      <c r="B9809" s="4"/>
      <c r="D9809" s="4"/>
      <c r="E9809" s="4"/>
      <c r="F9809" s="4"/>
    </row>
    <row r="9810" spans="1:6" x14ac:dyDescent="0.4">
      <c r="A9810" s="4"/>
      <c r="B9810" s="4"/>
      <c r="D9810" s="4"/>
      <c r="E9810" s="4"/>
      <c r="F9810" s="4"/>
    </row>
    <row r="9811" spans="1:6" x14ac:dyDescent="0.4">
      <c r="A9811" s="4"/>
      <c r="B9811" s="4"/>
      <c r="D9811" s="4"/>
      <c r="E9811" s="4"/>
      <c r="F9811" s="4"/>
    </row>
    <row r="9812" spans="1:6" x14ac:dyDescent="0.4">
      <c r="A9812" s="4"/>
      <c r="B9812" s="4"/>
      <c r="D9812" s="4"/>
      <c r="E9812" s="4"/>
      <c r="F9812" s="4"/>
    </row>
    <row r="9813" spans="1:6" x14ac:dyDescent="0.4">
      <c r="A9813" s="4"/>
      <c r="B9813" s="4"/>
      <c r="D9813" s="4"/>
      <c r="E9813" s="4"/>
      <c r="F9813" s="4"/>
    </row>
    <row r="9814" spans="1:6" x14ac:dyDescent="0.4">
      <c r="A9814" s="4"/>
      <c r="B9814" s="4"/>
      <c r="D9814" s="4"/>
      <c r="E9814" s="4"/>
      <c r="F9814" s="4"/>
    </row>
    <row r="9815" spans="1:6" x14ac:dyDescent="0.4">
      <c r="A9815" s="4"/>
      <c r="B9815" s="4"/>
      <c r="D9815" s="4"/>
      <c r="E9815" s="4"/>
      <c r="F9815" s="4"/>
    </row>
    <row r="9816" spans="1:6" x14ac:dyDescent="0.4">
      <c r="A9816" s="4"/>
      <c r="B9816" s="4"/>
      <c r="D9816" s="4"/>
      <c r="E9816" s="4"/>
      <c r="F9816" s="4"/>
    </row>
    <row r="9817" spans="1:6" x14ac:dyDescent="0.4">
      <c r="A9817" s="4"/>
      <c r="B9817" s="4"/>
      <c r="D9817" s="4"/>
      <c r="E9817" s="4"/>
      <c r="F9817" s="4"/>
    </row>
    <row r="9818" spans="1:6" x14ac:dyDescent="0.4">
      <c r="A9818" s="4"/>
      <c r="B9818" s="4"/>
      <c r="D9818" s="4"/>
      <c r="E9818" s="4"/>
      <c r="F9818" s="4"/>
    </row>
    <row r="9819" spans="1:6" x14ac:dyDescent="0.4">
      <c r="A9819" s="4"/>
      <c r="B9819" s="4"/>
      <c r="D9819" s="4"/>
      <c r="E9819" s="4"/>
      <c r="F9819" s="4"/>
    </row>
    <row r="9820" spans="1:6" x14ac:dyDescent="0.4">
      <c r="A9820" s="4"/>
      <c r="B9820" s="4"/>
      <c r="D9820" s="4"/>
      <c r="E9820" s="4"/>
      <c r="F9820" s="4"/>
    </row>
    <row r="9821" spans="1:6" x14ac:dyDescent="0.4">
      <c r="A9821" s="4"/>
      <c r="B9821" s="4"/>
      <c r="D9821" s="4"/>
      <c r="E9821" s="4"/>
      <c r="F9821" s="4"/>
    </row>
    <row r="9822" spans="1:6" x14ac:dyDescent="0.4">
      <c r="A9822" s="4"/>
      <c r="B9822" s="4"/>
      <c r="D9822" s="4"/>
      <c r="E9822" s="4"/>
      <c r="F9822" s="4"/>
    </row>
    <row r="9823" spans="1:6" x14ac:dyDescent="0.4">
      <c r="A9823" s="4"/>
      <c r="B9823" s="4"/>
      <c r="D9823" s="4"/>
      <c r="E9823" s="4"/>
      <c r="F9823" s="4"/>
    </row>
    <row r="9824" spans="1:6" x14ac:dyDescent="0.4">
      <c r="A9824" s="4"/>
      <c r="B9824" s="4"/>
      <c r="D9824" s="4"/>
      <c r="E9824" s="4"/>
      <c r="F9824" s="4"/>
    </row>
    <row r="9825" spans="1:6" x14ac:dyDescent="0.4">
      <c r="A9825" s="4"/>
      <c r="B9825" s="4"/>
      <c r="D9825" s="4"/>
      <c r="E9825" s="4"/>
      <c r="F9825" s="4"/>
    </row>
    <row r="9826" spans="1:6" x14ac:dyDescent="0.4">
      <c r="A9826" s="4"/>
      <c r="B9826" s="4"/>
      <c r="D9826" s="4"/>
      <c r="E9826" s="4"/>
      <c r="F9826" s="4"/>
    </row>
    <row r="9827" spans="1:6" x14ac:dyDescent="0.4">
      <c r="A9827" s="4"/>
      <c r="B9827" s="4"/>
      <c r="D9827" s="4"/>
      <c r="E9827" s="4"/>
      <c r="F9827" s="4"/>
    </row>
    <row r="9828" spans="1:6" x14ac:dyDescent="0.4">
      <c r="A9828" s="4"/>
      <c r="B9828" s="4"/>
      <c r="D9828" s="4"/>
      <c r="E9828" s="4"/>
      <c r="F9828" s="4"/>
    </row>
    <row r="9829" spans="1:6" x14ac:dyDescent="0.4">
      <c r="A9829" s="4"/>
      <c r="B9829" s="4"/>
      <c r="D9829" s="4"/>
      <c r="E9829" s="4"/>
      <c r="F9829" s="4"/>
    </row>
    <row r="9830" spans="1:6" x14ac:dyDescent="0.4">
      <c r="A9830" s="4"/>
      <c r="B9830" s="4"/>
      <c r="D9830" s="4"/>
      <c r="E9830" s="4"/>
      <c r="F9830" s="4"/>
    </row>
    <row r="9831" spans="1:6" x14ac:dyDescent="0.4">
      <c r="A9831" s="4"/>
      <c r="B9831" s="4"/>
      <c r="D9831" s="4"/>
      <c r="E9831" s="4"/>
      <c r="F9831" s="4"/>
    </row>
    <row r="9832" spans="1:6" x14ac:dyDescent="0.4">
      <c r="A9832" s="4"/>
      <c r="B9832" s="4"/>
      <c r="D9832" s="4"/>
      <c r="E9832" s="4"/>
      <c r="F9832" s="4"/>
    </row>
    <row r="9833" spans="1:6" x14ac:dyDescent="0.4">
      <c r="A9833" s="4"/>
      <c r="B9833" s="4"/>
      <c r="D9833" s="4"/>
      <c r="E9833" s="4"/>
      <c r="F9833" s="4"/>
    </row>
    <row r="9834" spans="1:6" x14ac:dyDescent="0.4">
      <c r="A9834" s="4"/>
      <c r="B9834" s="4"/>
      <c r="D9834" s="4"/>
      <c r="E9834" s="4"/>
      <c r="F9834" s="4"/>
    </row>
    <row r="9835" spans="1:6" x14ac:dyDescent="0.4">
      <c r="A9835" s="4"/>
      <c r="B9835" s="4"/>
      <c r="D9835" s="4"/>
      <c r="E9835" s="4"/>
      <c r="F9835" s="4"/>
    </row>
    <row r="9836" spans="1:6" x14ac:dyDescent="0.4">
      <c r="A9836" s="4"/>
      <c r="B9836" s="4"/>
      <c r="D9836" s="4"/>
      <c r="E9836" s="4"/>
      <c r="F9836" s="4"/>
    </row>
    <row r="9837" spans="1:6" x14ac:dyDescent="0.4">
      <c r="A9837" s="4"/>
      <c r="B9837" s="4"/>
      <c r="D9837" s="4"/>
      <c r="E9837" s="4"/>
      <c r="F9837" s="4"/>
    </row>
    <row r="9838" spans="1:6" x14ac:dyDescent="0.4">
      <c r="A9838" s="4"/>
      <c r="B9838" s="4"/>
      <c r="D9838" s="4"/>
      <c r="E9838" s="4"/>
      <c r="F9838" s="4"/>
    </row>
    <row r="9839" spans="1:6" x14ac:dyDescent="0.4">
      <c r="A9839" s="4"/>
      <c r="B9839" s="4"/>
      <c r="D9839" s="4"/>
      <c r="E9839" s="4"/>
      <c r="F9839" s="4"/>
    </row>
    <row r="9840" spans="1:6" x14ac:dyDescent="0.4">
      <c r="A9840" s="4"/>
      <c r="B9840" s="4"/>
      <c r="D9840" s="4"/>
      <c r="E9840" s="4"/>
      <c r="F9840" s="4"/>
    </row>
    <row r="9841" spans="1:6" x14ac:dyDescent="0.4">
      <c r="A9841" s="4"/>
      <c r="B9841" s="4"/>
      <c r="D9841" s="4"/>
      <c r="E9841" s="4"/>
      <c r="F9841" s="4"/>
    </row>
    <row r="9842" spans="1:6" x14ac:dyDescent="0.4">
      <c r="A9842" s="4"/>
      <c r="B9842" s="4"/>
      <c r="D9842" s="4"/>
      <c r="E9842" s="4"/>
      <c r="F9842" s="4"/>
    </row>
    <row r="9843" spans="1:6" x14ac:dyDescent="0.4">
      <c r="A9843" s="4"/>
      <c r="B9843" s="4"/>
      <c r="D9843" s="4"/>
      <c r="E9843" s="4"/>
      <c r="F9843" s="4"/>
    </row>
    <row r="9844" spans="1:6" x14ac:dyDescent="0.4">
      <c r="A9844" s="4"/>
      <c r="B9844" s="4"/>
      <c r="D9844" s="4"/>
      <c r="E9844" s="4"/>
      <c r="F9844" s="4"/>
    </row>
    <row r="9845" spans="1:6" x14ac:dyDescent="0.4">
      <c r="A9845" s="4"/>
      <c r="B9845" s="4"/>
      <c r="D9845" s="4"/>
      <c r="E9845" s="4"/>
      <c r="F9845" s="4"/>
    </row>
    <row r="9846" spans="1:6" x14ac:dyDescent="0.4">
      <c r="A9846" s="4"/>
      <c r="B9846" s="4"/>
      <c r="D9846" s="4"/>
      <c r="E9846" s="4"/>
      <c r="F9846" s="4"/>
    </row>
    <row r="9847" spans="1:6" x14ac:dyDescent="0.4">
      <c r="A9847" s="4"/>
      <c r="B9847" s="4"/>
      <c r="D9847" s="4"/>
      <c r="E9847" s="4"/>
      <c r="F9847" s="4"/>
    </row>
    <row r="9848" spans="1:6" x14ac:dyDescent="0.4">
      <c r="A9848" s="4"/>
      <c r="B9848" s="4"/>
      <c r="D9848" s="4"/>
      <c r="E9848" s="4"/>
      <c r="F9848" s="4"/>
    </row>
    <row r="9849" spans="1:6" x14ac:dyDescent="0.4">
      <c r="A9849" s="4"/>
      <c r="B9849" s="4"/>
      <c r="D9849" s="4"/>
      <c r="E9849" s="4"/>
      <c r="F9849" s="4"/>
    </row>
    <row r="9850" spans="1:6" x14ac:dyDescent="0.4">
      <c r="A9850" s="4"/>
      <c r="B9850" s="4"/>
      <c r="D9850" s="4"/>
      <c r="E9850" s="4"/>
      <c r="F9850" s="4"/>
    </row>
    <row r="9851" spans="1:6" x14ac:dyDescent="0.4">
      <c r="A9851" s="4"/>
      <c r="B9851" s="4"/>
      <c r="D9851" s="4"/>
      <c r="E9851" s="4"/>
      <c r="F9851" s="4"/>
    </row>
    <row r="9852" spans="1:6" x14ac:dyDescent="0.4">
      <c r="A9852" s="4"/>
      <c r="B9852" s="4"/>
      <c r="D9852" s="4"/>
      <c r="E9852" s="4"/>
      <c r="F9852" s="4"/>
    </row>
    <row r="9853" spans="1:6" x14ac:dyDescent="0.4">
      <c r="A9853" s="4"/>
      <c r="B9853" s="4"/>
      <c r="D9853" s="4"/>
      <c r="E9853" s="4"/>
      <c r="F9853" s="4"/>
    </row>
    <row r="9854" spans="1:6" x14ac:dyDescent="0.4">
      <c r="A9854" s="4"/>
      <c r="B9854" s="4"/>
      <c r="D9854" s="4"/>
      <c r="E9854" s="4"/>
      <c r="F9854" s="4"/>
    </row>
    <row r="9855" spans="1:6" x14ac:dyDescent="0.4">
      <c r="A9855" s="4"/>
      <c r="B9855" s="4"/>
      <c r="D9855" s="4"/>
      <c r="E9855" s="4"/>
      <c r="F9855" s="4"/>
    </row>
    <row r="9856" spans="1:6" x14ac:dyDescent="0.4">
      <c r="A9856" s="4"/>
      <c r="B9856" s="4"/>
      <c r="D9856" s="4"/>
      <c r="E9856" s="4"/>
      <c r="F9856" s="4"/>
    </row>
    <row r="9857" spans="1:6" x14ac:dyDescent="0.4">
      <c r="A9857" s="4"/>
      <c r="B9857" s="4"/>
      <c r="D9857" s="4"/>
      <c r="E9857" s="4"/>
      <c r="F9857" s="4"/>
    </row>
    <row r="9858" spans="1:6" x14ac:dyDescent="0.4">
      <c r="A9858" s="4"/>
      <c r="B9858" s="4"/>
      <c r="D9858" s="4"/>
      <c r="E9858" s="4"/>
      <c r="F9858" s="4"/>
    </row>
    <row r="9859" spans="1:6" x14ac:dyDescent="0.4">
      <c r="A9859" s="4"/>
      <c r="B9859" s="4"/>
      <c r="D9859" s="4"/>
      <c r="E9859" s="4"/>
      <c r="F9859" s="4"/>
    </row>
    <row r="9860" spans="1:6" x14ac:dyDescent="0.4">
      <c r="A9860" s="4"/>
      <c r="B9860" s="4"/>
      <c r="D9860" s="4"/>
      <c r="E9860" s="4"/>
      <c r="F9860" s="4"/>
    </row>
    <row r="9861" spans="1:6" x14ac:dyDescent="0.4">
      <c r="A9861" s="4"/>
      <c r="B9861" s="4"/>
      <c r="D9861" s="4"/>
      <c r="E9861" s="4"/>
      <c r="F9861" s="4"/>
    </row>
    <row r="9862" spans="1:6" x14ac:dyDescent="0.4">
      <c r="A9862" s="4"/>
      <c r="B9862" s="4"/>
      <c r="D9862" s="4"/>
      <c r="E9862" s="4"/>
      <c r="F9862" s="4"/>
    </row>
    <row r="9863" spans="1:6" x14ac:dyDescent="0.4">
      <c r="A9863" s="4"/>
      <c r="B9863" s="4"/>
      <c r="D9863" s="4"/>
      <c r="E9863" s="4"/>
      <c r="F9863" s="4"/>
    </row>
    <row r="9864" spans="1:6" x14ac:dyDescent="0.4">
      <c r="A9864" s="4"/>
      <c r="B9864" s="4"/>
      <c r="D9864" s="4"/>
      <c r="E9864" s="4"/>
      <c r="F9864" s="4"/>
    </row>
    <row r="9865" spans="1:6" x14ac:dyDescent="0.4">
      <c r="A9865" s="4"/>
      <c r="B9865" s="4"/>
      <c r="D9865" s="4"/>
      <c r="E9865" s="4"/>
      <c r="F9865" s="4"/>
    </row>
    <row r="9866" spans="1:6" x14ac:dyDescent="0.4">
      <c r="A9866" s="4"/>
      <c r="B9866" s="4"/>
      <c r="D9866" s="4"/>
      <c r="E9866" s="4"/>
      <c r="F9866" s="4"/>
    </row>
    <row r="9867" spans="1:6" x14ac:dyDescent="0.4">
      <c r="A9867" s="4"/>
      <c r="B9867" s="4"/>
      <c r="D9867" s="4"/>
      <c r="E9867" s="4"/>
      <c r="F9867" s="4"/>
    </row>
    <row r="9868" spans="1:6" x14ac:dyDescent="0.4">
      <c r="A9868" s="4"/>
      <c r="B9868" s="4"/>
      <c r="D9868" s="4"/>
      <c r="E9868" s="4"/>
      <c r="F9868" s="4"/>
    </row>
    <row r="9869" spans="1:6" x14ac:dyDescent="0.4">
      <c r="A9869" s="4"/>
      <c r="B9869" s="4"/>
      <c r="D9869" s="4"/>
      <c r="E9869" s="4"/>
      <c r="F9869" s="4"/>
    </row>
    <row r="9870" spans="1:6" x14ac:dyDescent="0.4">
      <c r="A9870" s="4"/>
      <c r="B9870" s="4"/>
      <c r="D9870" s="4"/>
      <c r="E9870" s="4"/>
      <c r="F9870" s="4"/>
    </row>
    <row r="9871" spans="1:6" x14ac:dyDescent="0.4">
      <c r="A9871" s="4"/>
      <c r="B9871" s="4"/>
      <c r="D9871" s="4"/>
      <c r="E9871" s="4"/>
      <c r="F9871" s="4"/>
    </row>
    <row r="9872" spans="1:6" x14ac:dyDescent="0.4">
      <c r="A9872" s="4"/>
      <c r="B9872" s="4"/>
      <c r="D9872" s="4"/>
      <c r="E9872" s="4"/>
      <c r="F9872" s="4"/>
    </row>
    <row r="9873" spans="1:6" x14ac:dyDescent="0.4">
      <c r="A9873" s="4"/>
      <c r="B9873" s="4"/>
      <c r="D9873" s="4"/>
      <c r="E9873" s="4"/>
      <c r="F9873" s="4"/>
    </row>
    <row r="9874" spans="1:6" x14ac:dyDescent="0.4">
      <c r="A9874" s="4"/>
      <c r="B9874" s="4"/>
      <c r="D9874" s="4"/>
      <c r="E9874" s="4"/>
      <c r="F9874" s="4"/>
    </row>
    <row r="9875" spans="1:6" x14ac:dyDescent="0.4">
      <c r="A9875" s="4"/>
      <c r="B9875" s="4"/>
      <c r="D9875" s="4"/>
      <c r="E9875" s="4"/>
      <c r="F9875" s="4"/>
    </row>
    <row r="9876" spans="1:6" x14ac:dyDescent="0.4">
      <c r="A9876" s="4"/>
      <c r="B9876" s="4"/>
      <c r="D9876" s="4"/>
      <c r="E9876" s="4"/>
      <c r="F9876" s="4"/>
    </row>
    <row r="9877" spans="1:6" x14ac:dyDescent="0.4">
      <c r="A9877" s="4"/>
      <c r="B9877" s="4"/>
      <c r="D9877" s="4"/>
      <c r="E9877" s="4"/>
      <c r="F9877" s="4"/>
    </row>
    <row r="9878" spans="1:6" x14ac:dyDescent="0.4">
      <c r="A9878" s="4"/>
      <c r="B9878" s="4"/>
      <c r="D9878" s="4"/>
      <c r="E9878" s="4"/>
      <c r="F9878" s="4"/>
    </row>
    <row r="9879" spans="1:6" x14ac:dyDescent="0.4">
      <c r="A9879" s="4"/>
      <c r="B9879" s="4"/>
      <c r="D9879" s="4"/>
      <c r="E9879" s="4"/>
      <c r="F9879" s="4"/>
    </row>
    <row r="9880" spans="1:6" x14ac:dyDescent="0.4">
      <c r="A9880" s="4"/>
      <c r="B9880" s="4"/>
      <c r="D9880" s="4"/>
      <c r="E9880" s="4"/>
      <c r="F9880" s="4"/>
    </row>
    <row r="9881" spans="1:6" x14ac:dyDescent="0.4">
      <c r="A9881" s="4"/>
      <c r="B9881" s="4"/>
      <c r="D9881" s="4"/>
      <c r="E9881" s="4"/>
      <c r="F9881" s="4"/>
    </row>
    <row r="9882" spans="1:6" x14ac:dyDescent="0.4">
      <c r="A9882" s="4"/>
      <c r="B9882" s="4"/>
      <c r="D9882" s="4"/>
      <c r="E9882" s="4"/>
      <c r="F9882" s="4"/>
    </row>
    <row r="9883" spans="1:6" x14ac:dyDescent="0.4">
      <c r="A9883" s="4"/>
      <c r="B9883" s="4"/>
      <c r="D9883" s="4"/>
      <c r="E9883" s="4"/>
      <c r="F9883" s="4"/>
    </row>
    <row r="9884" spans="1:6" x14ac:dyDescent="0.4">
      <c r="A9884" s="4"/>
      <c r="B9884" s="4"/>
      <c r="D9884" s="4"/>
      <c r="E9884" s="4"/>
      <c r="F9884" s="4"/>
    </row>
    <row r="9885" spans="1:6" x14ac:dyDescent="0.4">
      <c r="A9885" s="4"/>
      <c r="B9885" s="4"/>
      <c r="D9885" s="4"/>
      <c r="E9885" s="4"/>
      <c r="F9885" s="4"/>
    </row>
    <row r="9886" spans="1:6" x14ac:dyDescent="0.4">
      <c r="A9886" s="4"/>
      <c r="B9886" s="4"/>
      <c r="D9886" s="4"/>
      <c r="E9886" s="4"/>
      <c r="F9886" s="4"/>
    </row>
    <row r="9887" spans="1:6" x14ac:dyDescent="0.4">
      <c r="A9887" s="4"/>
      <c r="B9887" s="4"/>
      <c r="D9887" s="4"/>
      <c r="E9887" s="4"/>
      <c r="F9887" s="4"/>
    </row>
    <row r="9888" spans="1:6" x14ac:dyDescent="0.4">
      <c r="A9888" s="4"/>
      <c r="B9888" s="4"/>
      <c r="D9888" s="4"/>
      <c r="E9888" s="4"/>
      <c r="F9888" s="4"/>
    </row>
    <row r="9889" spans="1:6" x14ac:dyDescent="0.4">
      <c r="A9889" s="4"/>
      <c r="B9889" s="4"/>
      <c r="D9889" s="4"/>
      <c r="E9889" s="4"/>
      <c r="F9889" s="4"/>
    </row>
    <row r="9890" spans="1:6" x14ac:dyDescent="0.4">
      <c r="A9890" s="4"/>
      <c r="B9890" s="4"/>
      <c r="D9890" s="4"/>
      <c r="E9890" s="4"/>
      <c r="F9890" s="4"/>
    </row>
    <row r="9891" spans="1:6" x14ac:dyDescent="0.4">
      <c r="A9891" s="4"/>
      <c r="B9891" s="4"/>
      <c r="D9891" s="4"/>
      <c r="E9891" s="4"/>
      <c r="F9891" s="4"/>
    </row>
    <row r="9892" spans="1:6" x14ac:dyDescent="0.4">
      <c r="A9892" s="4"/>
      <c r="B9892" s="4"/>
      <c r="D9892" s="4"/>
      <c r="E9892" s="4"/>
      <c r="F9892" s="4"/>
    </row>
    <row r="9893" spans="1:6" x14ac:dyDescent="0.4">
      <c r="A9893" s="4"/>
      <c r="B9893" s="4"/>
      <c r="D9893" s="4"/>
      <c r="E9893" s="4"/>
      <c r="F9893" s="4"/>
    </row>
    <row r="9894" spans="1:6" x14ac:dyDescent="0.4">
      <c r="A9894" s="4"/>
      <c r="B9894" s="4"/>
      <c r="D9894" s="4"/>
      <c r="E9894" s="4"/>
      <c r="F9894" s="4"/>
    </row>
    <row r="9895" spans="1:6" x14ac:dyDescent="0.4">
      <c r="A9895" s="4"/>
      <c r="B9895" s="4"/>
      <c r="D9895" s="4"/>
      <c r="E9895" s="4"/>
      <c r="F9895" s="4"/>
    </row>
    <row r="9896" spans="1:6" x14ac:dyDescent="0.4">
      <c r="A9896" s="4"/>
      <c r="B9896" s="4"/>
      <c r="D9896" s="4"/>
      <c r="E9896" s="4"/>
      <c r="F9896" s="4"/>
    </row>
    <row r="9897" spans="1:6" x14ac:dyDescent="0.4">
      <c r="A9897" s="4"/>
      <c r="B9897" s="4"/>
      <c r="D9897" s="4"/>
      <c r="E9897" s="4"/>
      <c r="F9897" s="4"/>
    </row>
    <row r="9898" spans="1:6" x14ac:dyDescent="0.4">
      <c r="A9898" s="4"/>
      <c r="B9898" s="4"/>
      <c r="D9898" s="4"/>
      <c r="E9898" s="4"/>
      <c r="F9898" s="4"/>
    </row>
    <row r="9899" spans="1:6" x14ac:dyDescent="0.4">
      <c r="A9899" s="4"/>
      <c r="B9899" s="4"/>
      <c r="D9899" s="4"/>
      <c r="E9899" s="4"/>
      <c r="F9899" s="4"/>
    </row>
    <row r="9900" spans="1:6" x14ac:dyDescent="0.4">
      <c r="A9900" s="4"/>
      <c r="B9900" s="4"/>
      <c r="D9900" s="4"/>
      <c r="E9900" s="4"/>
      <c r="F9900" s="4"/>
    </row>
    <row r="9901" spans="1:6" x14ac:dyDescent="0.4">
      <c r="A9901" s="4"/>
      <c r="B9901" s="4"/>
      <c r="D9901" s="4"/>
      <c r="E9901" s="4"/>
      <c r="F9901" s="4"/>
    </row>
    <row r="9902" spans="1:6" x14ac:dyDescent="0.4">
      <c r="A9902" s="4"/>
      <c r="B9902" s="4"/>
      <c r="D9902" s="4"/>
      <c r="E9902" s="4"/>
      <c r="F9902" s="4"/>
    </row>
    <row r="9903" spans="1:6" x14ac:dyDescent="0.4">
      <c r="A9903" s="4"/>
      <c r="B9903" s="4"/>
      <c r="D9903" s="4"/>
      <c r="E9903" s="4"/>
      <c r="F9903" s="4"/>
    </row>
    <row r="9904" spans="1:6" x14ac:dyDescent="0.4">
      <c r="A9904" s="4"/>
      <c r="B9904" s="4"/>
      <c r="D9904" s="4"/>
      <c r="E9904" s="4"/>
      <c r="F9904" s="4"/>
    </row>
    <row r="9905" spans="1:6" x14ac:dyDescent="0.4">
      <c r="A9905" s="4"/>
      <c r="B9905" s="4"/>
      <c r="D9905" s="4"/>
      <c r="E9905" s="4"/>
      <c r="F9905" s="4"/>
    </row>
    <row r="9906" spans="1:6" x14ac:dyDescent="0.4">
      <c r="A9906" s="4"/>
      <c r="B9906" s="4"/>
      <c r="D9906" s="4"/>
      <c r="E9906" s="4"/>
      <c r="F9906" s="4"/>
    </row>
    <row r="9907" spans="1:6" x14ac:dyDescent="0.4">
      <c r="A9907" s="4"/>
      <c r="B9907" s="4"/>
      <c r="D9907" s="4"/>
      <c r="E9907" s="4"/>
      <c r="F9907" s="4"/>
    </row>
    <row r="9908" spans="1:6" x14ac:dyDescent="0.4">
      <c r="A9908" s="4"/>
      <c r="B9908" s="4"/>
      <c r="D9908" s="4"/>
      <c r="E9908" s="4"/>
      <c r="F9908" s="4"/>
    </row>
    <row r="9909" spans="1:6" x14ac:dyDescent="0.4">
      <c r="A9909" s="4"/>
      <c r="B9909" s="4"/>
      <c r="D9909" s="4"/>
      <c r="E9909" s="4"/>
      <c r="F9909" s="4"/>
    </row>
    <row r="9910" spans="1:6" x14ac:dyDescent="0.4">
      <c r="A9910" s="4"/>
      <c r="B9910" s="4"/>
      <c r="D9910" s="4"/>
      <c r="E9910" s="4"/>
      <c r="F9910" s="4"/>
    </row>
    <row r="9911" spans="1:6" x14ac:dyDescent="0.4">
      <c r="A9911" s="4"/>
      <c r="B9911" s="4"/>
      <c r="D9911" s="4"/>
      <c r="E9911" s="4"/>
      <c r="F9911" s="4"/>
    </row>
    <row r="9912" spans="1:6" x14ac:dyDescent="0.4">
      <c r="A9912" s="4"/>
      <c r="B9912" s="4"/>
      <c r="D9912" s="4"/>
      <c r="E9912" s="4"/>
      <c r="F9912" s="4"/>
    </row>
    <row r="9913" spans="1:6" x14ac:dyDescent="0.4">
      <c r="A9913" s="4"/>
      <c r="B9913" s="4"/>
      <c r="D9913" s="4"/>
      <c r="E9913" s="4"/>
      <c r="F9913" s="4"/>
    </row>
    <row r="9914" spans="1:6" x14ac:dyDescent="0.4">
      <c r="A9914" s="4"/>
      <c r="B9914" s="4"/>
      <c r="D9914" s="4"/>
      <c r="E9914" s="4"/>
      <c r="F9914" s="4"/>
    </row>
    <row r="9915" spans="1:6" x14ac:dyDescent="0.4">
      <c r="A9915" s="4"/>
      <c r="B9915" s="4"/>
      <c r="D9915" s="4"/>
      <c r="E9915" s="4"/>
      <c r="F9915" s="4"/>
    </row>
    <row r="9916" spans="1:6" x14ac:dyDescent="0.4">
      <c r="A9916" s="4"/>
      <c r="B9916" s="4"/>
      <c r="D9916" s="4"/>
      <c r="E9916" s="4"/>
      <c r="F9916" s="4"/>
    </row>
    <row r="9917" spans="1:6" x14ac:dyDescent="0.4">
      <c r="A9917" s="4"/>
      <c r="B9917" s="4"/>
      <c r="D9917" s="4"/>
      <c r="E9917" s="4"/>
      <c r="F9917" s="4"/>
    </row>
    <row r="9918" spans="1:6" x14ac:dyDescent="0.4">
      <c r="A9918" s="4"/>
      <c r="B9918" s="4"/>
      <c r="D9918" s="4"/>
      <c r="E9918" s="4"/>
      <c r="F9918" s="4"/>
    </row>
    <row r="9919" spans="1:6" x14ac:dyDescent="0.4">
      <c r="A9919" s="4"/>
      <c r="B9919" s="4"/>
      <c r="D9919" s="4"/>
      <c r="E9919" s="4"/>
      <c r="F9919" s="4"/>
    </row>
    <row r="9920" spans="1:6" x14ac:dyDescent="0.4">
      <c r="A9920" s="4"/>
      <c r="B9920" s="4"/>
      <c r="D9920" s="4"/>
      <c r="E9920" s="4"/>
      <c r="F9920" s="4"/>
    </row>
    <row r="9921" spans="1:6" x14ac:dyDescent="0.4">
      <c r="A9921" s="4"/>
      <c r="B9921" s="4"/>
      <c r="D9921" s="4"/>
      <c r="E9921" s="4"/>
      <c r="F9921" s="4"/>
    </row>
    <row r="9922" spans="1:6" x14ac:dyDescent="0.4">
      <c r="A9922" s="4"/>
      <c r="B9922" s="4"/>
      <c r="D9922" s="4"/>
      <c r="E9922" s="4"/>
      <c r="F9922" s="4"/>
    </row>
    <row r="9923" spans="1:6" x14ac:dyDescent="0.4">
      <c r="A9923" s="4"/>
      <c r="B9923" s="4"/>
      <c r="D9923" s="4"/>
      <c r="E9923" s="4"/>
      <c r="F9923" s="4"/>
    </row>
    <row r="9924" spans="1:6" x14ac:dyDescent="0.4">
      <c r="A9924" s="4"/>
      <c r="B9924" s="4"/>
      <c r="D9924" s="4"/>
      <c r="E9924" s="4"/>
      <c r="F9924" s="4"/>
    </row>
    <row r="9925" spans="1:6" x14ac:dyDescent="0.4">
      <c r="A9925" s="4"/>
      <c r="B9925" s="4"/>
      <c r="D9925" s="4"/>
      <c r="E9925" s="4"/>
      <c r="F9925" s="4"/>
    </row>
    <row r="9926" spans="1:6" x14ac:dyDescent="0.4">
      <c r="A9926" s="4"/>
      <c r="B9926" s="4"/>
      <c r="D9926" s="4"/>
      <c r="E9926" s="4"/>
      <c r="F9926" s="4"/>
    </row>
    <row r="9927" spans="1:6" x14ac:dyDescent="0.4">
      <c r="A9927" s="4"/>
      <c r="B9927" s="4"/>
      <c r="D9927" s="4"/>
      <c r="E9927" s="4"/>
      <c r="F9927" s="4"/>
    </row>
    <row r="9928" spans="1:6" x14ac:dyDescent="0.4">
      <c r="A9928" s="4"/>
      <c r="B9928" s="4"/>
      <c r="D9928" s="4"/>
      <c r="E9928" s="4"/>
      <c r="F9928" s="4"/>
    </row>
    <row r="9929" spans="1:6" x14ac:dyDescent="0.4">
      <c r="A9929" s="4"/>
      <c r="B9929" s="4"/>
      <c r="D9929" s="4"/>
      <c r="E9929" s="4"/>
      <c r="F9929" s="4"/>
    </row>
    <row r="9930" spans="1:6" x14ac:dyDescent="0.4">
      <c r="A9930" s="4"/>
      <c r="B9930" s="4"/>
      <c r="D9930" s="4"/>
      <c r="E9930" s="4"/>
      <c r="F9930" s="4"/>
    </row>
    <row r="9931" spans="1:6" x14ac:dyDescent="0.4">
      <c r="A9931" s="4"/>
      <c r="B9931" s="4"/>
      <c r="D9931" s="4"/>
      <c r="E9931" s="4"/>
      <c r="F9931" s="4"/>
    </row>
    <row r="9932" spans="1:6" x14ac:dyDescent="0.4">
      <c r="A9932" s="4"/>
      <c r="B9932" s="4"/>
      <c r="D9932" s="4"/>
      <c r="E9932" s="4"/>
      <c r="F9932" s="4"/>
    </row>
    <row r="9933" spans="1:6" x14ac:dyDescent="0.4">
      <c r="A9933" s="4"/>
      <c r="B9933" s="4"/>
      <c r="D9933" s="4"/>
      <c r="E9933" s="4"/>
      <c r="F9933" s="4"/>
    </row>
    <row r="9934" spans="1:6" x14ac:dyDescent="0.4">
      <c r="A9934" s="4"/>
      <c r="B9934" s="4"/>
      <c r="D9934" s="4"/>
      <c r="E9934" s="4"/>
      <c r="F9934" s="4"/>
    </row>
    <row r="9935" spans="1:6" x14ac:dyDescent="0.4">
      <c r="A9935" s="4"/>
      <c r="B9935" s="4"/>
      <c r="D9935" s="4"/>
      <c r="E9935" s="4"/>
      <c r="F9935" s="4"/>
    </row>
    <row r="9936" spans="1:6" x14ac:dyDescent="0.4">
      <c r="A9936" s="4"/>
      <c r="B9936" s="4"/>
      <c r="D9936" s="4"/>
      <c r="E9936" s="4"/>
      <c r="F9936" s="4"/>
    </row>
    <row r="9937" spans="1:6" x14ac:dyDescent="0.4">
      <c r="A9937" s="4"/>
      <c r="B9937" s="4"/>
      <c r="D9937" s="4"/>
      <c r="E9937" s="4"/>
      <c r="F9937" s="4"/>
    </row>
    <row r="9938" spans="1:6" x14ac:dyDescent="0.4">
      <c r="A9938" s="4"/>
      <c r="B9938" s="4"/>
      <c r="D9938" s="4"/>
      <c r="E9938" s="4"/>
      <c r="F9938" s="4"/>
    </row>
    <row r="9939" spans="1:6" x14ac:dyDescent="0.4">
      <c r="A9939" s="4"/>
      <c r="B9939" s="4"/>
      <c r="D9939" s="4"/>
      <c r="E9939" s="4"/>
      <c r="F9939" s="4"/>
    </row>
    <row r="9940" spans="1:6" x14ac:dyDescent="0.4">
      <c r="A9940" s="4"/>
      <c r="B9940" s="4"/>
      <c r="D9940" s="4"/>
      <c r="E9940" s="4"/>
      <c r="F9940" s="4"/>
    </row>
    <row r="9941" spans="1:6" x14ac:dyDescent="0.4">
      <c r="A9941" s="4"/>
      <c r="B9941" s="4"/>
      <c r="D9941" s="4"/>
      <c r="E9941" s="4"/>
      <c r="F9941" s="4"/>
    </row>
    <row r="9942" spans="1:6" x14ac:dyDescent="0.4">
      <c r="A9942" s="4"/>
      <c r="B9942" s="4"/>
      <c r="D9942" s="4"/>
      <c r="E9942" s="4"/>
      <c r="F9942" s="4"/>
    </row>
    <row r="9943" spans="1:6" x14ac:dyDescent="0.4">
      <c r="A9943" s="4"/>
      <c r="B9943" s="4"/>
      <c r="D9943" s="4"/>
      <c r="E9943" s="4"/>
      <c r="F9943" s="4"/>
    </row>
    <row r="9944" spans="1:6" x14ac:dyDescent="0.4">
      <c r="A9944" s="4"/>
      <c r="B9944" s="4"/>
      <c r="D9944" s="4"/>
      <c r="E9944" s="4"/>
      <c r="F9944" s="4"/>
    </row>
    <row r="9945" spans="1:6" x14ac:dyDescent="0.4">
      <c r="A9945" s="4"/>
      <c r="B9945" s="4"/>
      <c r="D9945" s="4"/>
      <c r="E9945" s="4"/>
      <c r="F9945" s="4"/>
    </row>
    <row r="9946" spans="1:6" x14ac:dyDescent="0.4">
      <c r="A9946" s="4"/>
      <c r="B9946" s="4"/>
      <c r="D9946" s="4"/>
      <c r="E9946" s="4"/>
      <c r="F9946" s="4"/>
    </row>
    <row r="9947" spans="1:6" x14ac:dyDescent="0.4">
      <c r="A9947" s="4"/>
      <c r="B9947" s="4"/>
      <c r="D9947" s="4"/>
      <c r="E9947" s="4"/>
      <c r="F9947" s="4"/>
    </row>
    <row r="9948" spans="1:6" x14ac:dyDescent="0.4">
      <c r="A9948" s="4"/>
      <c r="B9948" s="4"/>
      <c r="D9948" s="4"/>
      <c r="E9948" s="4"/>
      <c r="F9948" s="4"/>
    </row>
    <row r="9949" spans="1:6" x14ac:dyDescent="0.4">
      <c r="A9949" s="4"/>
      <c r="B9949" s="4"/>
      <c r="D9949" s="4"/>
      <c r="E9949" s="4"/>
      <c r="F9949" s="4"/>
    </row>
    <row r="9950" spans="1:6" x14ac:dyDescent="0.4">
      <c r="A9950" s="4"/>
      <c r="B9950" s="4"/>
      <c r="D9950" s="4"/>
      <c r="E9950" s="4"/>
      <c r="F9950" s="4"/>
    </row>
    <row r="9951" spans="1:6" x14ac:dyDescent="0.4">
      <c r="A9951" s="4"/>
      <c r="B9951" s="4"/>
      <c r="D9951" s="4"/>
      <c r="E9951" s="4"/>
      <c r="F9951" s="4"/>
    </row>
    <row r="9952" spans="1:6" x14ac:dyDescent="0.4">
      <c r="A9952" s="4"/>
      <c r="B9952" s="4"/>
      <c r="D9952" s="4"/>
      <c r="E9952" s="4"/>
      <c r="F9952" s="4"/>
    </row>
    <row r="9953" spans="1:6" x14ac:dyDescent="0.4">
      <c r="A9953" s="4"/>
      <c r="B9953" s="4"/>
      <c r="D9953" s="4"/>
      <c r="E9953" s="4"/>
      <c r="F9953" s="4"/>
    </row>
    <row r="9954" spans="1:6" x14ac:dyDescent="0.4">
      <c r="A9954" s="4"/>
      <c r="B9954" s="4"/>
      <c r="D9954" s="4"/>
      <c r="E9954" s="4"/>
      <c r="F9954" s="4"/>
    </row>
    <row r="9955" spans="1:6" x14ac:dyDescent="0.4">
      <c r="A9955" s="4"/>
      <c r="B9955" s="4"/>
      <c r="D9955" s="4"/>
      <c r="E9955" s="4"/>
      <c r="F9955" s="4"/>
    </row>
    <row r="9956" spans="1:6" x14ac:dyDescent="0.4">
      <c r="A9956" s="4"/>
      <c r="B9956" s="4"/>
      <c r="D9956" s="4"/>
      <c r="E9956" s="4"/>
      <c r="F9956" s="4"/>
    </row>
    <row r="9957" spans="1:6" x14ac:dyDescent="0.4">
      <c r="A9957" s="4"/>
      <c r="B9957" s="4"/>
      <c r="D9957" s="4"/>
      <c r="E9957" s="4"/>
      <c r="F9957" s="4"/>
    </row>
    <row r="9958" spans="1:6" x14ac:dyDescent="0.4">
      <c r="A9958" s="4"/>
      <c r="B9958" s="4"/>
      <c r="D9958" s="4"/>
      <c r="E9958" s="4"/>
      <c r="F9958" s="4"/>
    </row>
    <row r="9959" spans="1:6" x14ac:dyDescent="0.4">
      <c r="A9959" s="4"/>
      <c r="B9959" s="4"/>
      <c r="D9959" s="4"/>
      <c r="E9959" s="4"/>
      <c r="F9959" s="4"/>
    </row>
    <row r="9960" spans="1:6" x14ac:dyDescent="0.4">
      <c r="A9960" s="4"/>
      <c r="B9960" s="4"/>
      <c r="D9960" s="4"/>
      <c r="E9960" s="4"/>
      <c r="F9960" s="4"/>
    </row>
    <row r="9961" spans="1:6" x14ac:dyDescent="0.4">
      <c r="A9961" s="4"/>
      <c r="B9961" s="4"/>
      <c r="D9961" s="4"/>
      <c r="E9961" s="4"/>
      <c r="F9961" s="4"/>
    </row>
    <row r="9962" spans="1:6" x14ac:dyDescent="0.4">
      <c r="A9962" s="4"/>
      <c r="B9962" s="4"/>
      <c r="D9962" s="4"/>
      <c r="E9962" s="4"/>
      <c r="F9962" s="4"/>
    </row>
    <row r="9963" spans="1:6" x14ac:dyDescent="0.4">
      <c r="A9963" s="4"/>
      <c r="B9963" s="4"/>
      <c r="D9963" s="4"/>
      <c r="E9963" s="4"/>
      <c r="F9963" s="4"/>
    </row>
    <row r="9964" spans="1:6" x14ac:dyDescent="0.4">
      <c r="A9964" s="4"/>
      <c r="B9964" s="4"/>
      <c r="D9964" s="4"/>
      <c r="E9964" s="4"/>
      <c r="F9964" s="4"/>
    </row>
    <row r="9965" spans="1:6" x14ac:dyDescent="0.4">
      <c r="A9965" s="4"/>
      <c r="B9965" s="4"/>
      <c r="D9965" s="4"/>
      <c r="E9965" s="4"/>
      <c r="F9965" s="4"/>
    </row>
    <row r="9966" spans="1:6" x14ac:dyDescent="0.4">
      <c r="A9966" s="4"/>
      <c r="B9966" s="4"/>
      <c r="D9966" s="4"/>
      <c r="E9966" s="4"/>
      <c r="F9966" s="4"/>
    </row>
    <row r="9967" spans="1:6" x14ac:dyDescent="0.4">
      <c r="A9967" s="4"/>
      <c r="B9967" s="4"/>
      <c r="D9967" s="4"/>
      <c r="E9967" s="4"/>
      <c r="F9967" s="4"/>
    </row>
    <row r="9968" spans="1:6" x14ac:dyDescent="0.4">
      <c r="A9968" s="4"/>
      <c r="B9968" s="4"/>
      <c r="D9968" s="4"/>
      <c r="E9968" s="4"/>
      <c r="F9968" s="4"/>
    </row>
    <row r="9969" spans="1:6" x14ac:dyDescent="0.4">
      <c r="A9969" s="4"/>
      <c r="B9969" s="4"/>
      <c r="D9969" s="4"/>
      <c r="E9969" s="4"/>
      <c r="F9969" s="4"/>
    </row>
    <row r="9970" spans="1:6" x14ac:dyDescent="0.4">
      <c r="A9970" s="4"/>
      <c r="B9970" s="4"/>
      <c r="D9970" s="4"/>
      <c r="E9970" s="4"/>
      <c r="F9970" s="4"/>
    </row>
    <row r="9971" spans="1:6" x14ac:dyDescent="0.4">
      <c r="A9971" s="4"/>
      <c r="B9971" s="4"/>
      <c r="D9971" s="4"/>
      <c r="E9971" s="4"/>
      <c r="F9971" s="4"/>
    </row>
    <row r="9972" spans="1:6" x14ac:dyDescent="0.4">
      <c r="A9972" s="4"/>
      <c r="B9972" s="4"/>
      <c r="D9972" s="4"/>
      <c r="E9972" s="4"/>
      <c r="F9972" s="4"/>
    </row>
    <row r="9973" spans="1:6" x14ac:dyDescent="0.4">
      <c r="A9973" s="4"/>
      <c r="B9973" s="4"/>
      <c r="D9973" s="4"/>
      <c r="E9973" s="4"/>
      <c r="F9973" s="4"/>
    </row>
    <row r="9974" spans="1:6" x14ac:dyDescent="0.4">
      <c r="A9974" s="4"/>
      <c r="B9974" s="4"/>
      <c r="D9974" s="4"/>
      <c r="E9974" s="4"/>
      <c r="F9974" s="4"/>
    </row>
    <row r="9975" spans="1:6" x14ac:dyDescent="0.4">
      <c r="A9975" s="4"/>
      <c r="B9975" s="4"/>
      <c r="D9975" s="4"/>
      <c r="E9975" s="4"/>
      <c r="F9975" s="4"/>
    </row>
    <row r="9976" spans="1:6" x14ac:dyDescent="0.4">
      <c r="A9976" s="4"/>
      <c r="B9976" s="4"/>
      <c r="D9976" s="4"/>
      <c r="E9976" s="4"/>
      <c r="F9976" s="4"/>
    </row>
    <row r="9977" spans="1:6" x14ac:dyDescent="0.4">
      <c r="A9977" s="4"/>
      <c r="B9977" s="4"/>
      <c r="D9977" s="4"/>
      <c r="E9977" s="4"/>
      <c r="F9977" s="4"/>
    </row>
    <row r="9978" spans="1:6" x14ac:dyDescent="0.4">
      <c r="A9978" s="4"/>
      <c r="B9978" s="4"/>
      <c r="D9978" s="4"/>
      <c r="E9978" s="4"/>
      <c r="F9978" s="4"/>
    </row>
    <row r="9979" spans="1:6" x14ac:dyDescent="0.4">
      <c r="A9979" s="4"/>
      <c r="B9979" s="4"/>
      <c r="D9979" s="4"/>
      <c r="E9979" s="4"/>
      <c r="F9979" s="4"/>
    </row>
    <row r="9980" spans="1:6" x14ac:dyDescent="0.4">
      <c r="A9980" s="4"/>
      <c r="B9980" s="4"/>
      <c r="D9980" s="4"/>
      <c r="E9980" s="4"/>
      <c r="F9980" s="4"/>
    </row>
    <row r="9981" spans="1:6" x14ac:dyDescent="0.4">
      <c r="A9981" s="4"/>
      <c r="B9981" s="4"/>
      <c r="D9981" s="4"/>
      <c r="E9981" s="4"/>
      <c r="F9981" s="4"/>
    </row>
    <row r="9982" spans="1:6" x14ac:dyDescent="0.4">
      <c r="A9982" s="4"/>
      <c r="B9982" s="4"/>
      <c r="D9982" s="4"/>
      <c r="E9982" s="4"/>
      <c r="F9982" s="4"/>
    </row>
    <row r="9983" spans="1:6" x14ac:dyDescent="0.4">
      <c r="A9983" s="4"/>
      <c r="B9983" s="4"/>
      <c r="D9983" s="4"/>
      <c r="E9983" s="4"/>
      <c r="F9983" s="4"/>
    </row>
    <row r="9984" spans="1:6" x14ac:dyDescent="0.4">
      <c r="A9984" s="4"/>
      <c r="B9984" s="4"/>
      <c r="D9984" s="4"/>
      <c r="E9984" s="4"/>
      <c r="F9984" s="4"/>
    </row>
    <row r="9985" spans="1:6" x14ac:dyDescent="0.4">
      <c r="A9985" s="4"/>
      <c r="B9985" s="4"/>
      <c r="D9985" s="4"/>
      <c r="E9985" s="4"/>
      <c r="F9985" s="4"/>
    </row>
    <row r="9986" spans="1:6" x14ac:dyDescent="0.4">
      <c r="A9986" s="4"/>
      <c r="B9986" s="4"/>
      <c r="D9986" s="4"/>
      <c r="E9986" s="4"/>
      <c r="F9986" s="4"/>
    </row>
    <row r="9987" spans="1:6" x14ac:dyDescent="0.4">
      <c r="A9987" s="4"/>
      <c r="B9987" s="4"/>
      <c r="D9987" s="4"/>
      <c r="E9987" s="4"/>
      <c r="F9987" s="4"/>
    </row>
    <row r="9988" spans="1:6" x14ac:dyDescent="0.4">
      <c r="A9988" s="4"/>
      <c r="B9988" s="4"/>
      <c r="D9988" s="4"/>
      <c r="E9988" s="4"/>
      <c r="F9988" s="4"/>
    </row>
    <row r="9989" spans="1:6" x14ac:dyDescent="0.4">
      <c r="A9989" s="4"/>
      <c r="B9989" s="4"/>
      <c r="D9989" s="4"/>
      <c r="E9989" s="4"/>
      <c r="F9989" s="4"/>
    </row>
    <row r="9990" spans="1:6" x14ac:dyDescent="0.4">
      <c r="A9990" s="4"/>
      <c r="B9990" s="4"/>
      <c r="D9990" s="4"/>
      <c r="E9990" s="4"/>
      <c r="F9990" s="4"/>
    </row>
    <row r="9991" spans="1:6" x14ac:dyDescent="0.4">
      <c r="A9991" s="4"/>
      <c r="B9991" s="4"/>
      <c r="D9991" s="4"/>
      <c r="E9991" s="4"/>
      <c r="F9991" s="4"/>
    </row>
    <row r="9992" spans="1:6" x14ac:dyDescent="0.4">
      <c r="A9992" s="4"/>
      <c r="B9992" s="4"/>
      <c r="D9992" s="4"/>
      <c r="E9992" s="4"/>
      <c r="F9992" s="4"/>
    </row>
    <row r="9993" spans="1:6" x14ac:dyDescent="0.4">
      <c r="A9993" s="4"/>
      <c r="B9993" s="4"/>
      <c r="D9993" s="4"/>
      <c r="E9993" s="4"/>
      <c r="F9993" s="4"/>
    </row>
    <row r="9994" spans="1:6" x14ac:dyDescent="0.4">
      <c r="A9994" s="4"/>
      <c r="B9994" s="4"/>
      <c r="D9994" s="4"/>
      <c r="E9994" s="4"/>
      <c r="F9994" s="4"/>
    </row>
    <row r="9995" spans="1:6" x14ac:dyDescent="0.4">
      <c r="A9995" s="4"/>
      <c r="B9995" s="4"/>
      <c r="D9995" s="4"/>
      <c r="E9995" s="4"/>
      <c r="F9995" s="4"/>
    </row>
    <row r="9996" spans="1:6" x14ac:dyDescent="0.4">
      <c r="A9996" s="4"/>
      <c r="B9996" s="4"/>
      <c r="D9996" s="4"/>
      <c r="E9996" s="4"/>
      <c r="F9996" s="4"/>
    </row>
    <row r="9997" spans="1:6" x14ac:dyDescent="0.4">
      <c r="A9997" s="4"/>
      <c r="B9997" s="4"/>
      <c r="D9997" s="4"/>
      <c r="E9997" s="4"/>
      <c r="F9997" s="4"/>
    </row>
    <row r="9998" spans="1:6" x14ac:dyDescent="0.4">
      <c r="A9998" s="4"/>
      <c r="B9998" s="4"/>
      <c r="D9998" s="4"/>
      <c r="E9998" s="4"/>
      <c r="F9998" s="4"/>
    </row>
    <row r="9999" spans="1:6" x14ac:dyDescent="0.4">
      <c r="A9999" s="4"/>
      <c r="B9999" s="4"/>
      <c r="D9999" s="4"/>
      <c r="E9999" s="4"/>
      <c r="F9999" s="4"/>
    </row>
    <row r="10000" spans="1:6" x14ac:dyDescent="0.4">
      <c r="A10000" s="4"/>
      <c r="B10000" s="4"/>
      <c r="D10000" s="4"/>
      <c r="E10000" s="4"/>
      <c r="F10000" s="4"/>
    </row>
    <row r="10001" spans="1:6" x14ac:dyDescent="0.4">
      <c r="A10001" s="4"/>
      <c r="B10001" s="4"/>
      <c r="D10001" s="4"/>
      <c r="E10001" s="4"/>
      <c r="F10001" s="4"/>
    </row>
    <row r="10002" spans="1:6" x14ac:dyDescent="0.4">
      <c r="A10002" s="4"/>
      <c r="B10002" s="4"/>
      <c r="D10002" s="4"/>
      <c r="E10002" s="4"/>
      <c r="F10002" s="4"/>
    </row>
    <row r="10003" spans="1:6" x14ac:dyDescent="0.4">
      <c r="A10003" s="4"/>
      <c r="B10003" s="4"/>
      <c r="D10003" s="4"/>
      <c r="E10003" s="4"/>
      <c r="F10003" s="4"/>
    </row>
    <row r="10004" spans="1:6" x14ac:dyDescent="0.4">
      <c r="A10004" s="4"/>
      <c r="B10004" s="4"/>
      <c r="D10004" s="4"/>
      <c r="E10004" s="4"/>
      <c r="F10004" s="4"/>
    </row>
    <row r="10005" spans="1:6" x14ac:dyDescent="0.4">
      <c r="A10005" s="4"/>
      <c r="B10005" s="4"/>
      <c r="D10005" s="4"/>
      <c r="E10005" s="4"/>
      <c r="F10005" s="4"/>
    </row>
    <row r="10006" spans="1:6" x14ac:dyDescent="0.4">
      <c r="A10006" s="4"/>
      <c r="B10006" s="4"/>
      <c r="D10006" s="4"/>
      <c r="E10006" s="4"/>
      <c r="F10006" s="4"/>
    </row>
    <row r="10007" spans="1:6" x14ac:dyDescent="0.4">
      <c r="A10007" s="4"/>
      <c r="B10007" s="4"/>
      <c r="D10007" s="4"/>
      <c r="E10007" s="4"/>
      <c r="F10007" s="4"/>
    </row>
    <row r="10008" spans="1:6" x14ac:dyDescent="0.4">
      <c r="A10008" s="4"/>
      <c r="B10008" s="4"/>
      <c r="D10008" s="4"/>
      <c r="E10008" s="4"/>
      <c r="F10008" s="4"/>
    </row>
    <row r="10009" spans="1:6" x14ac:dyDescent="0.4">
      <c r="A10009" s="4"/>
      <c r="B10009" s="4"/>
      <c r="D10009" s="4"/>
      <c r="E10009" s="4"/>
      <c r="F10009" s="4"/>
    </row>
    <row r="10010" spans="1:6" x14ac:dyDescent="0.4">
      <c r="A10010" s="4"/>
      <c r="B10010" s="4"/>
      <c r="D10010" s="4"/>
      <c r="E10010" s="4"/>
      <c r="F10010" s="4"/>
    </row>
    <row r="10011" spans="1:6" x14ac:dyDescent="0.4">
      <c r="A10011" s="4"/>
      <c r="B10011" s="4"/>
      <c r="D10011" s="4"/>
      <c r="E10011" s="4"/>
      <c r="F10011" s="4"/>
    </row>
    <row r="10012" spans="1:6" x14ac:dyDescent="0.4">
      <c r="A10012" s="4"/>
      <c r="B10012" s="4"/>
      <c r="D10012" s="4"/>
      <c r="E10012" s="4"/>
      <c r="F10012" s="4"/>
    </row>
    <row r="10013" spans="1:6" x14ac:dyDescent="0.4">
      <c r="A10013" s="4"/>
      <c r="B10013" s="4"/>
      <c r="D10013" s="4"/>
      <c r="E10013" s="4"/>
      <c r="F10013" s="4"/>
    </row>
    <row r="10014" spans="1:6" x14ac:dyDescent="0.4">
      <c r="A10014" s="4"/>
      <c r="B10014" s="4"/>
      <c r="D10014" s="4"/>
      <c r="E10014" s="4"/>
      <c r="F10014" s="4"/>
    </row>
    <row r="10015" spans="1:6" x14ac:dyDescent="0.4">
      <c r="A10015" s="4"/>
      <c r="B10015" s="4"/>
      <c r="D10015" s="4"/>
      <c r="E10015" s="4"/>
      <c r="F10015" s="4"/>
    </row>
    <row r="10016" spans="1:6" x14ac:dyDescent="0.4">
      <c r="A10016" s="4"/>
      <c r="B10016" s="4"/>
      <c r="D10016" s="4"/>
      <c r="E10016" s="4"/>
      <c r="F10016" s="4"/>
    </row>
    <row r="10017" spans="1:6" x14ac:dyDescent="0.4">
      <c r="A10017" s="4"/>
      <c r="B10017" s="4"/>
      <c r="D10017" s="4"/>
      <c r="E10017" s="4"/>
      <c r="F10017" s="4"/>
    </row>
    <row r="10018" spans="1:6" x14ac:dyDescent="0.4">
      <c r="A10018" s="4"/>
      <c r="B10018" s="4"/>
      <c r="D10018" s="4"/>
      <c r="E10018" s="4"/>
      <c r="F10018" s="4"/>
    </row>
    <row r="10019" spans="1:6" x14ac:dyDescent="0.4">
      <c r="A10019" s="4"/>
      <c r="B10019" s="4"/>
      <c r="D10019" s="4"/>
      <c r="E10019" s="4"/>
      <c r="F10019" s="4"/>
    </row>
    <row r="10020" spans="1:6" x14ac:dyDescent="0.4">
      <c r="A10020" s="4"/>
      <c r="B10020" s="4"/>
      <c r="D10020" s="4"/>
      <c r="E10020" s="4"/>
      <c r="F10020" s="4"/>
    </row>
    <row r="10021" spans="1:6" x14ac:dyDescent="0.4">
      <c r="A10021" s="4"/>
      <c r="B10021" s="4"/>
      <c r="D10021" s="4"/>
      <c r="E10021" s="4"/>
      <c r="F10021" s="4"/>
    </row>
    <row r="10022" spans="1:6" x14ac:dyDescent="0.4">
      <c r="A10022" s="4"/>
      <c r="B10022" s="4"/>
      <c r="D10022" s="4"/>
      <c r="E10022" s="4"/>
      <c r="F10022" s="4"/>
    </row>
    <row r="10023" spans="1:6" x14ac:dyDescent="0.4">
      <c r="A10023" s="4"/>
      <c r="B10023" s="4"/>
      <c r="D10023" s="4"/>
      <c r="E10023" s="4"/>
      <c r="F10023" s="4"/>
    </row>
    <row r="10024" spans="1:6" x14ac:dyDescent="0.4">
      <c r="A10024" s="4"/>
      <c r="B10024" s="4"/>
      <c r="D10024" s="4"/>
      <c r="E10024" s="4"/>
      <c r="F10024" s="4"/>
    </row>
    <row r="10025" spans="1:6" x14ac:dyDescent="0.4">
      <c r="A10025" s="4"/>
      <c r="B10025" s="4"/>
      <c r="D10025" s="4"/>
      <c r="E10025" s="4"/>
      <c r="F10025" s="4"/>
    </row>
    <row r="10026" spans="1:6" x14ac:dyDescent="0.4">
      <c r="A10026" s="4"/>
      <c r="B10026" s="4"/>
      <c r="D10026" s="4"/>
      <c r="E10026" s="4"/>
      <c r="F10026" s="4"/>
    </row>
    <row r="10027" spans="1:6" x14ac:dyDescent="0.4">
      <c r="A10027" s="4"/>
      <c r="B10027" s="4"/>
      <c r="D10027" s="4"/>
      <c r="E10027" s="4"/>
      <c r="F10027" s="4"/>
    </row>
    <row r="10028" spans="1:6" x14ac:dyDescent="0.4">
      <c r="A10028" s="4"/>
      <c r="B10028" s="4"/>
      <c r="D10028" s="4"/>
      <c r="E10028" s="4"/>
      <c r="F10028" s="4"/>
    </row>
    <row r="10029" spans="1:6" x14ac:dyDescent="0.4">
      <c r="A10029" s="4"/>
      <c r="B10029" s="4"/>
      <c r="D10029" s="4"/>
      <c r="E10029" s="4"/>
      <c r="F10029" s="4"/>
    </row>
    <row r="10030" spans="1:6" x14ac:dyDescent="0.4">
      <c r="A10030" s="4"/>
      <c r="B10030" s="4"/>
      <c r="D10030" s="4"/>
      <c r="E10030" s="4"/>
      <c r="F10030" s="4"/>
    </row>
    <row r="10031" spans="1:6" x14ac:dyDescent="0.4">
      <c r="A10031" s="4"/>
      <c r="B10031" s="4"/>
      <c r="D10031" s="4"/>
      <c r="E10031" s="4"/>
      <c r="F10031" s="4"/>
    </row>
    <row r="10032" spans="1:6" x14ac:dyDescent="0.4">
      <c r="A10032" s="4"/>
      <c r="B10032" s="4"/>
      <c r="D10032" s="4"/>
      <c r="E10032" s="4"/>
      <c r="F10032" s="4"/>
    </row>
    <row r="10033" spans="1:6" x14ac:dyDescent="0.4">
      <c r="A10033" s="4"/>
      <c r="B10033" s="4"/>
      <c r="D10033" s="4"/>
      <c r="E10033" s="4"/>
      <c r="F10033" s="4"/>
    </row>
    <row r="10034" spans="1:6" x14ac:dyDescent="0.4">
      <c r="A10034" s="4"/>
      <c r="B10034" s="4"/>
      <c r="D10034" s="4"/>
      <c r="E10034" s="4"/>
      <c r="F10034" s="4"/>
    </row>
    <row r="10035" spans="1:6" x14ac:dyDescent="0.4">
      <c r="A10035" s="4"/>
      <c r="B10035" s="4"/>
      <c r="D10035" s="4"/>
      <c r="E10035" s="4"/>
      <c r="F10035" s="4"/>
    </row>
    <row r="10036" spans="1:6" x14ac:dyDescent="0.4">
      <c r="A10036" s="4"/>
      <c r="B10036" s="4"/>
      <c r="D10036" s="4"/>
      <c r="E10036" s="4"/>
      <c r="F10036" s="4"/>
    </row>
    <row r="10037" spans="1:6" x14ac:dyDescent="0.4">
      <c r="A10037" s="4"/>
      <c r="B10037" s="4"/>
      <c r="D10037" s="4"/>
      <c r="E10037" s="4"/>
      <c r="F10037" s="4"/>
    </row>
    <row r="10038" spans="1:6" x14ac:dyDescent="0.4">
      <c r="A10038" s="4"/>
      <c r="B10038" s="4"/>
      <c r="D10038" s="4"/>
      <c r="E10038" s="4"/>
      <c r="F10038" s="4"/>
    </row>
    <row r="10039" spans="1:6" x14ac:dyDescent="0.4">
      <c r="A10039" s="4"/>
      <c r="B10039" s="4"/>
      <c r="D10039" s="4"/>
      <c r="E10039" s="4"/>
      <c r="F10039" s="4"/>
    </row>
    <row r="10040" spans="1:6" x14ac:dyDescent="0.4">
      <c r="A10040" s="4"/>
      <c r="B10040" s="4"/>
      <c r="D10040" s="4"/>
      <c r="E10040" s="4"/>
      <c r="F10040" s="4"/>
    </row>
    <row r="10041" spans="1:6" x14ac:dyDescent="0.4">
      <c r="A10041" s="4"/>
      <c r="B10041" s="4"/>
      <c r="D10041" s="4"/>
      <c r="E10041" s="4"/>
      <c r="F10041" s="4"/>
    </row>
    <row r="10042" spans="1:6" x14ac:dyDescent="0.4">
      <c r="A10042" s="4"/>
      <c r="B10042" s="4"/>
      <c r="D10042" s="4"/>
      <c r="E10042" s="4"/>
      <c r="F10042" s="4"/>
    </row>
    <row r="10043" spans="1:6" x14ac:dyDescent="0.4">
      <c r="A10043" s="4"/>
      <c r="B10043" s="4"/>
      <c r="D10043" s="4"/>
      <c r="E10043" s="4"/>
      <c r="F10043" s="4"/>
    </row>
    <row r="10044" spans="1:6" x14ac:dyDescent="0.4">
      <c r="A10044" s="4"/>
      <c r="B10044" s="4"/>
      <c r="D10044" s="4"/>
      <c r="E10044" s="4"/>
      <c r="F10044" s="4"/>
    </row>
    <row r="10045" spans="1:6" x14ac:dyDescent="0.4">
      <c r="A10045" s="4"/>
      <c r="B10045" s="4"/>
      <c r="D10045" s="4"/>
      <c r="E10045" s="4"/>
      <c r="F10045" s="4"/>
    </row>
    <row r="10046" spans="1:6" x14ac:dyDescent="0.4">
      <c r="A10046" s="4"/>
      <c r="B10046" s="4"/>
      <c r="D10046" s="4"/>
      <c r="E10046" s="4"/>
      <c r="F10046" s="4"/>
    </row>
    <row r="10047" spans="1:6" x14ac:dyDescent="0.4">
      <c r="A10047" s="4"/>
      <c r="B10047" s="4"/>
      <c r="D10047" s="4"/>
      <c r="E10047" s="4"/>
      <c r="F10047" s="4"/>
    </row>
    <row r="10048" spans="1:6" x14ac:dyDescent="0.4">
      <c r="A10048" s="4"/>
      <c r="B10048" s="4"/>
      <c r="D10048" s="4"/>
      <c r="E10048" s="4"/>
      <c r="F10048" s="4"/>
    </row>
    <row r="10049" spans="1:6" x14ac:dyDescent="0.4">
      <c r="A10049" s="4"/>
      <c r="B10049" s="4"/>
      <c r="D10049" s="4"/>
      <c r="E10049" s="4"/>
      <c r="F10049" s="4"/>
    </row>
    <row r="10050" spans="1:6" x14ac:dyDescent="0.4">
      <c r="A10050" s="4"/>
      <c r="B10050" s="4"/>
      <c r="D10050" s="4"/>
      <c r="E10050" s="4"/>
      <c r="F10050" s="4"/>
    </row>
    <row r="10051" spans="1:6" x14ac:dyDescent="0.4">
      <c r="A10051" s="4"/>
      <c r="B10051" s="4"/>
      <c r="D10051" s="4"/>
      <c r="E10051" s="4"/>
      <c r="F10051" s="4"/>
    </row>
    <row r="10052" spans="1:6" x14ac:dyDescent="0.4">
      <c r="A10052" s="4"/>
      <c r="B10052" s="4"/>
      <c r="D10052" s="4"/>
      <c r="E10052" s="4"/>
      <c r="F10052" s="4"/>
    </row>
    <row r="10053" spans="1:6" x14ac:dyDescent="0.4">
      <c r="A10053" s="4"/>
      <c r="B10053" s="4"/>
      <c r="D10053" s="4"/>
      <c r="E10053" s="4"/>
      <c r="F10053" s="4"/>
    </row>
    <row r="10054" spans="1:6" x14ac:dyDescent="0.4">
      <c r="A10054" s="4"/>
      <c r="B10054" s="4"/>
      <c r="D10054" s="4"/>
      <c r="E10054" s="4"/>
      <c r="F10054" s="4"/>
    </row>
    <row r="10055" spans="1:6" x14ac:dyDescent="0.4">
      <c r="A10055" s="4"/>
      <c r="B10055" s="4"/>
      <c r="D10055" s="4"/>
      <c r="E10055" s="4"/>
      <c r="F10055" s="4"/>
    </row>
    <row r="10056" spans="1:6" x14ac:dyDescent="0.4">
      <c r="A10056" s="4"/>
      <c r="B10056" s="4"/>
      <c r="D10056" s="4"/>
      <c r="E10056" s="4"/>
      <c r="F10056" s="4"/>
    </row>
    <row r="10057" spans="1:6" x14ac:dyDescent="0.4">
      <c r="A10057" s="4"/>
      <c r="B10057" s="4"/>
      <c r="D10057" s="4"/>
      <c r="E10057" s="4"/>
      <c r="F10057" s="4"/>
    </row>
    <row r="10058" spans="1:6" x14ac:dyDescent="0.4">
      <c r="A10058" s="4"/>
      <c r="B10058" s="4"/>
      <c r="D10058" s="4"/>
      <c r="E10058" s="4"/>
      <c r="F10058" s="4"/>
    </row>
    <row r="10059" spans="1:6" x14ac:dyDescent="0.4">
      <c r="A10059" s="4"/>
      <c r="B10059" s="4"/>
      <c r="D10059" s="4"/>
      <c r="E10059" s="4"/>
      <c r="F10059" s="4"/>
    </row>
    <row r="10060" spans="1:6" x14ac:dyDescent="0.4">
      <c r="A10060" s="4"/>
      <c r="B10060" s="4"/>
      <c r="D10060" s="4"/>
      <c r="E10060" s="4"/>
      <c r="F10060" s="4"/>
    </row>
    <row r="10061" spans="1:6" x14ac:dyDescent="0.4">
      <c r="A10061" s="4"/>
      <c r="B10061" s="4"/>
      <c r="D10061" s="4"/>
      <c r="E10061" s="4"/>
      <c r="F10061" s="4"/>
    </row>
    <row r="10062" spans="1:6" x14ac:dyDescent="0.4">
      <c r="A10062" s="4"/>
      <c r="B10062" s="4"/>
      <c r="D10062" s="4"/>
      <c r="E10062" s="4"/>
      <c r="F10062" s="4"/>
    </row>
    <row r="10063" spans="1:6" x14ac:dyDescent="0.4">
      <c r="A10063" s="4"/>
      <c r="B10063" s="4"/>
      <c r="D10063" s="4"/>
      <c r="E10063" s="4"/>
      <c r="F10063" s="4"/>
    </row>
    <row r="10064" spans="1:6" x14ac:dyDescent="0.4">
      <c r="A10064" s="4"/>
      <c r="B10064" s="4"/>
      <c r="D10064" s="4"/>
      <c r="E10064" s="4"/>
      <c r="F10064" s="4"/>
    </row>
    <row r="10065" spans="1:6" x14ac:dyDescent="0.4">
      <c r="A10065" s="4"/>
      <c r="B10065" s="4"/>
      <c r="D10065" s="4"/>
      <c r="E10065" s="4"/>
      <c r="F10065" s="4"/>
    </row>
    <row r="10066" spans="1:6" x14ac:dyDescent="0.4">
      <c r="A10066" s="4"/>
      <c r="B10066" s="4"/>
      <c r="D10066" s="4"/>
      <c r="E10066" s="4"/>
      <c r="F10066" s="4"/>
    </row>
    <row r="10067" spans="1:6" x14ac:dyDescent="0.4">
      <c r="A10067" s="4"/>
      <c r="B10067" s="4"/>
      <c r="D10067" s="4"/>
      <c r="E10067" s="4"/>
      <c r="F10067" s="4"/>
    </row>
    <row r="10068" spans="1:6" x14ac:dyDescent="0.4">
      <c r="A10068" s="4"/>
      <c r="B10068" s="4"/>
      <c r="D10068" s="4"/>
      <c r="E10068" s="4"/>
      <c r="F10068" s="4"/>
    </row>
    <row r="10069" spans="1:6" x14ac:dyDescent="0.4">
      <c r="A10069" s="4"/>
      <c r="B10069" s="4"/>
      <c r="D10069" s="4"/>
      <c r="E10069" s="4"/>
      <c r="F10069" s="4"/>
    </row>
    <row r="10070" spans="1:6" x14ac:dyDescent="0.4">
      <c r="A10070" s="4"/>
      <c r="B10070" s="4"/>
      <c r="D10070" s="4"/>
      <c r="E10070" s="4"/>
      <c r="F10070" s="4"/>
    </row>
    <row r="10071" spans="1:6" x14ac:dyDescent="0.4">
      <c r="A10071" s="4"/>
      <c r="B10071" s="4"/>
      <c r="D10071" s="4"/>
      <c r="E10071" s="4"/>
      <c r="F10071" s="4"/>
    </row>
    <row r="10072" spans="1:6" x14ac:dyDescent="0.4">
      <c r="A10072" s="4"/>
      <c r="B10072" s="4"/>
      <c r="D10072" s="4"/>
      <c r="E10072" s="4"/>
      <c r="F10072" s="4"/>
    </row>
    <row r="10073" spans="1:6" x14ac:dyDescent="0.4">
      <c r="A10073" s="4"/>
      <c r="B10073" s="4"/>
      <c r="D10073" s="4"/>
      <c r="E10073" s="4"/>
      <c r="F10073" s="4"/>
    </row>
    <row r="10074" spans="1:6" x14ac:dyDescent="0.4">
      <c r="A10074" s="4"/>
      <c r="B10074" s="4"/>
      <c r="D10074" s="4"/>
      <c r="E10074" s="4"/>
      <c r="F10074" s="4"/>
    </row>
    <row r="10075" spans="1:6" x14ac:dyDescent="0.4">
      <c r="A10075" s="4"/>
      <c r="B10075" s="4"/>
      <c r="D10075" s="4"/>
      <c r="E10075" s="4"/>
      <c r="F10075" s="4"/>
    </row>
    <row r="10076" spans="1:6" x14ac:dyDescent="0.4">
      <c r="A10076" s="4"/>
      <c r="B10076" s="4"/>
      <c r="D10076" s="4"/>
      <c r="E10076" s="4"/>
      <c r="F10076" s="4"/>
    </row>
    <row r="10077" spans="1:6" x14ac:dyDescent="0.4">
      <c r="A10077" s="4"/>
      <c r="B10077" s="4"/>
      <c r="D10077" s="4"/>
      <c r="E10077" s="4"/>
      <c r="F10077" s="4"/>
    </row>
    <row r="10078" spans="1:6" x14ac:dyDescent="0.4">
      <c r="A10078" s="4"/>
      <c r="B10078" s="4"/>
      <c r="D10078" s="4"/>
      <c r="E10078" s="4"/>
      <c r="F10078" s="4"/>
    </row>
    <row r="10079" spans="1:6" x14ac:dyDescent="0.4">
      <c r="A10079" s="4"/>
      <c r="B10079" s="4"/>
      <c r="D10079" s="4"/>
      <c r="E10079" s="4"/>
      <c r="F10079" s="4"/>
    </row>
    <row r="10080" spans="1:6" x14ac:dyDescent="0.4">
      <c r="A10080" s="4"/>
      <c r="B10080" s="4"/>
      <c r="D10080" s="4"/>
      <c r="E10080" s="4"/>
      <c r="F10080" s="4"/>
    </row>
    <row r="10081" spans="1:6" x14ac:dyDescent="0.4">
      <c r="A10081" s="4"/>
      <c r="B10081" s="4"/>
      <c r="D10081" s="4"/>
      <c r="E10081" s="4"/>
      <c r="F10081" s="4"/>
    </row>
    <row r="10082" spans="1:6" x14ac:dyDescent="0.4">
      <c r="A10082" s="4"/>
      <c r="B10082" s="4"/>
      <c r="D10082" s="4"/>
      <c r="E10082" s="4"/>
      <c r="F10082" s="4"/>
    </row>
    <row r="10083" spans="1:6" x14ac:dyDescent="0.4">
      <c r="A10083" s="4"/>
      <c r="B10083" s="4"/>
      <c r="D10083" s="4"/>
      <c r="E10083" s="4"/>
      <c r="F10083" s="4"/>
    </row>
    <row r="10084" spans="1:6" x14ac:dyDescent="0.4">
      <c r="A10084" s="4"/>
      <c r="B10084" s="4"/>
      <c r="D10084" s="4"/>
      <c r="E10084" s="4"/>
      <c r="F10084" s="4"/>
    </row>
    <row r="10085" spans="1:6" x14ac:dyDescent="0.4">
      <c r="A10085" s="4"/>
      <c r="B10085" s="4"/>
      <c r="D10085" s="4"/>
      <c r="E10085" s="4"/>
      <c r="F10085" s="4"/>
    </row>
    <row r="10086" spans="1:6" x14ac:dyDescent="0.4">
      <c r="A10086" s="4"/>
      <c r="B10086" s="4"/>
      <c r="D10086" s="4"/>
      <c r="E10086" s="4"/>
      <c r="F10086" s="4"/>
    </row>
    <row r="10087" spans="1:6" x14ac:dyDescent="0.4">
      <c r="A10087" s="4"/>
      <c r="B10087" s="4"/>
      <c r="D10087" s="4"/>
      <c r="E10087" s="4"/>
      <c r="F10087" s="4"/>
    </row>
    <row r="10088" spans="1:6" x14ac:dyDescent="0.4">
      <c r="A10088" s="4"/>
      <c r="B10088" s="4"/>
      <c r="D10088" s="4"/>
      <c r="E10088" s="4"/>
      <c r="F10088" s="4"/>
    </row>
    <row r="10089" spans="1:6" x14ac:dyDescent="0.4">
      <c r="A10089" s="4"/>
      <c r="B10089" s="4"/>
      <c r="D10089" s="4"/>
      <c r="E10089" s="4"/>
      <c r="F10089" s="4"/>
    </row>
    <row r="10090" spans="1:6" x14ac:dyDescent="0.4">
      <c r="A10090" s="4"/>
      <c r="B10090" s="4"/>
      <c r="D10090" s="4"/>
      <c r="E10090" s="4"/>
      <c r="F10090" s="4"/>
    </row>
    <row r="10091" spans="1:6" x14ac:dyDescent="0.4">
      <c r="A10091" s="4"/>
      <c r="B10091" s="4"/>
      <c r="D10091" s="4"/>
      <c r="E10091" s="4"/>
      <c r="F10091" s="4"/>
    </row>
    <row r="10092" spans="1:6" x14ac:dyDescent="0.4">
      <c r="A10092" s="4"/>
      <c r="B10092" s="4"/>
      <c r="D10092" s="4"/>
      <c r="E10092" s="4"/>
      <c r="F10092" s="4"/>
    </row>
    <row r="10093" spans="1:6" x14ac:dyDescent="0.4">
      <c r="A10093" s="4"/>
      <c r="B10093" s="4"/>
      <c r="D10093" s="4"/>
      <c r="E10093" s="4"/>
      <c r="F10093" s="4"/>
    </row>
    <row r="10094" spans="1:6" x14ac:dyDescent="0.4">
      <c r="A10094" s="4"/>
      <c r="B10094" s="4"/>
      <c r="D10094" s="4"/>
      <c r="E10094" s="4"/>
      <c r="F10094" s="4"/>
    </row>
    <row r="10095" spans="1:6" x14ac:dyDescent="0.4">
      <c r="A10095" s="4"/>
      <c r="B10095" s="4"/>
      <c r="D10095" s="4"/>
      <c r="E10095" s="4"/>
      <c r="F10095" s="4"/>
    </row>
    <row r="10096" spans="1:6" x14ac:dyDescent="0.4">
      <c r="A10096" s="4"/>
      <c r="B10096" s="4"/>
      <c r="D10096" s="4"/>
      <c r="E10096" s="4"/>
      <c r="F10096" s="4"/>
    </row>
    <row r="10097" spans="1:6" x14ac:dyDescent="0.4">
      <c r="A10097" s="4"/>
      <c r="B10097" s="4"/>
      <c r="D10097" s="4"/>
      <c r="E10097" s="4"/>
      <c r="F10097" s="4"/>
    </row>
    <row r="10098" spans="1:6" x14ac:dyDescent="0.4">
      <c r="A10098" s="4"/>
      <c r="B10098" s="4"/>
      <c r="D10098" s="4"/>
      <c r="E10098" s="4"/>
      <c r="F10098" s="4"/>
    </row>
    <row r="10099" spans="1:6" x14ac:dyDescent="0.4">
      <c r="A10099" s="4"/>
      <c r="B10099" s="4"/>
      <c r="D10099" s="4"/>
      <c r="E10099" s="4"/>
      <c r="F10099" s="4"/>
    </row>
    <row r="10100" spans="1:6" x14ac:dyDescent="0.4">
      <c r="A10100" s="4"/>
      <c r="B10100" s="4"/>
      <c r="D10100" s="4"/>
      <c r="E10100" s="4"/>
      <c r="F10100" s="4"/>
    </row>
    <row r="10101" spans="1:6" x14ac:dyDescent="0.4">
      <c r="A10101" s="4"/>
      <c r="B10101" s="4"/>
      <c r="D10101" s="4"/>
      <c r="E10101" s="4"/>
      <c r="F10101" s="4"/>
    </row>
    <row r="10102" spans="1:6" x14ac:dyDescent="0.4">
      <c r="A10102" s="4"/>
      <c r="B10102" s="4"/>
      <c r="D10102" s="4"/>
      <c r="E10102" s="4"/>
      <c r="F10102" s="4"/>
    </row>
    <row r="10103" spans="1:6" x14ac:dyDescent="0.4">
      <c r="A10103" s="4"/>
      <c r="B10103" s="4"/>
      <c r="D10103" s="4"/>
      <c r="E10103" s="4"/>
      <c r="F10103" s="4"/>
    </row>
    <row r="10104" spans="1:6" x14ac:dyDescent="0.4">
      <c r="A10104" s="4"/>
      <c r="B10104" s="4"/>
      <c r="D10104" s="4"/>
      <c r="E10104" s="4"/>
      <c r="F10104" s="4"/>
    </row>
    <row r="10105" spans="1:6" x14ac:dyDescent="0.4">
      <c r="A10105" s="4"/>
      <c r="B10105" s="4"/>
      <c r="D10105" s="4"/>
      <c r="E10105" s="4"/>
      <c r="F10105" s="4"/>
    </row>
    <row r="10106" spans="1:6" x14ac:dyDescent="0.4">
      <c r="A10106" s="4"/>
      <c r="B10106" s="4"/>
      <c r="D10106" s="4"/>
      <c r="E10106" s="4"/>
      <c r="F10106" s="4"/>
    </row>
    <row r="10107" spans="1:6" x14ac:dyDescent="0.4">
      <c r="A10107" s="4"/>
      <c r="B10107" s="4"/>
      <c r="D10107" s="4"/>
      <c r="E10107" s="4"/>
      <c r="F10107" s="4"/>
    </row>
    <row r="10108" spans="1:6" x14ac:dyDescent="0.4">
      <c r="A10108" s="4"/>
      <c r="B10108" s="4"/>
      <c r="D10108" s="4"/>
      <c r="E10108" s="4"/>
      <c r="F10108" s="4"/>
    </row>
    <row r="10109" spans="1:6" x14ac:dyDescent="0.4">
      <c r="A10109" s="4"/>
      <c r="B10109" s="4"/>
      <c r="D10109" s="4"/>
      <c r="E10109" s="4"/>
      <c r="F10109" s="4"/>
    </row>
    <row r="10110" spans="1:6" x14ac:dyDescent="0.4">
      <c r="A10110" s="4"/>
      <c r="B10110" s="4"/>
      <c r="D10110" s="4"/>
      <c r="E10110" s="4"/>
      <c r="F10110" s="4"/>
    </row>
    <row r="10111" spans="1:6" x14ac:dyDescent="0.4">
      <c r="A10111" s="4"/>
      <c r="B10111" s="4"/>
      <c r="D10111" s="4"/>
      <c r="E10111" s="4"/>
      <c r="F10111" s="4"/>
    </row>
    <row r="10112" spans="1:6" x14ac:dyDescent="0.4">
      <c r="A10112" s="4"/>
      <c r="B10112" s="4"/>
      <c r="D10112" s="4"/>
      <c r="E10112" s="4"/>
      <c r="F10112" s="4"/>
    </row>
    <row r="10113" spans="1:6" x14ac:dyDescent="0.4">
      <c r="A10113" s="4"/>
      <c r="B10113" s="4"/>
      <c r="D10113" s="4"/>
      <c r="E10113" s="4"/>
      <c r="F10113" s="4"/>
    </row>
    <row r="10114" spans="1:6" x14ac:dyDescent="0.4">
      <c r="A10114" s="4"/>
      <c r="B10114" s="4"/>
      <c r="D10114" s="4"/>
      <c r="E10114" s="4"/>
      <c r="F10114" s="4"/>
    </row>
    <row r="10115" spans="1:6" x14ac:dyDescent="0.4">
      <c r="A10115" s="4"/>
      <c r="B10115" s="4"/>
      <c r="D10115" s="4"/>
      <c r="E10115" s="4"/>
      <c r="F10115" s="4"/>
    </row>
    <row r="10116" spans="1:6" x14ac:dyDescent="0.4">
      <c r="A10116" s="4"/>
      <c r="B10116" s="4"/>
      <c r="D10116" s="4"/>
      <c r="E10116" s="4"/>
      <c r="F10116" s="4"/>
    </row>
    <row r="10117" spans="1:6" x14ac:dyDescent="0.4">
      <c r="A10117" s="4"/>
      <c r="B10117" s="4"/>
      <c r="D10117" s="4"/>
      <c r="E10117" s="4"/>
      <c r="F10117" s="4"/>
    </row>
    <row r="10118" spans="1:6" x14ac:dyDescent="0.4">
      <c r="A10118" s="4"/>
      <c r="B10118" s="4"/>
      <c r="D10118" s="4"/>
      <c r="E10118" s="4"/>
      <c r="F10118" s="4"/>
    </row>
    <row r="10119" spans="1:6" x14ac:dyDescent="0.4">
      <c r="A10119" s="4"/>
      <c r="B10119" s="4"/>
      <c r="D10119" s="4"/>
      <c r="E10119" s="4"/>
      <c r="F10119" s="4"/>
    </row>
    <row r="10120" spans="1:6" x14ac:dyDescent="0.4">
      <c r="A10120" s="4"/>
      <c r="B10120" s="4"/>
      <c r="D10120" s="4"/>
      <c r="E10120" s="4"/>
      <c r="F10120" s="4"/>
    </row>
    <row r="10121" spans="1:6" x14ac:dyDescent="0.4">
      <c r="A10121" s="4"/>
      <c r="B10121" s="4"/>
      <c r="D10121" s="4"/>
      <c r="E10121" s="4"/>
      <c r="F10121" s="4"/>
    </row>
    <row r="10122" spans="1:6" x14ac:dyDescent="0.4">
      <c r="A10122" s="4"/>
      <c r="B10122" s="4"/>
      <c r="D10122" s="4"/>
      <c r="E10122" s="4"/>
      <c r="F10122" s="4"/>
    </row>
    <row r="10123" spans="1:6" x14ac:dyDescent="0.4">
      <c r="A10123" s="4"/>
      <c r="B10123" s="4"/>
      <c r="D10123" s="4"/>
      <c r="E10123" s="4"/>
      <c r="F10123" s="4"/>
    </row>
    <row r="10124" spans="1:6" x14ac:dyDescent="0.4">
      <c r="A10124" s="4"/>
      <c r="B10124" s="4"/>
      <c r="D10124" s="4"/>
      <c r="E10124" s="4"/>
      <c r="F10124" s="4"/>
    </row>
    <row r="10125" spans="1:6" x14ac:dyDescent="0.4">
      <c r="A10125" s="4"/>
      <c r="B10125" s="4"/>
      <c r="D10125" s="4"/>
      <c r="E10125" s="4"/>
      <c r="F10125" s="4"/>
    </row>
    <row r="10126" spans="1:6" x14ac:dyDescent="0.4">
      <c r="A10126" s="4"/>
      <c r="B10126" s="4"/>
      <c r="D10126" s="4"/>
      <c r="E10126" s="4"/>
      <c r="F10126" s="4"/>
    </row>
    <row r="10127" spans="1:6" x14ac:dyDescent="0.4">
      <c r="A10127" s="4"/>
      <c r="B10127" s="4"/>
      <c r="D10127" s="4"/>
      <c r="E10127" s="4"/>
      <c r="F10127" s="4"/>
    </row>
    <row r="10128" spans="1:6" x14ac:dyDescent="0.4">
      <c r="A10128" s="4"/>
      <c r="B10128" s="4"/>
      <c r="D10128" s="4"/>
      <c r="E10128" s="4"/>
      <c r="F10128" s="4"/>
    </row>
    <row r="10129" spans="1:6" x14ac:dyDescent="0.4">
      <c r="A10129" s="4"/>
      <c r="B10129" s="4"/>
      <c r="D10129" s="4"/>
      <c r="E10129" s="4"/>
      <c r="F10129" s="4"/>
    </row>
    <row r="10130" spans="1:6" x14ac:dyDescent="0.4">
      <c r="A10130" s="4"/>
      <c r="B10130" s="4"/>
      <c r="D10130" s="4"/>
      <c r="E10130" s="4"/>
      <c r="F10130" s="4"/>
    </row>
    <row r="10131" spans="1:6" x14ac:dyDescent="0.4">
      <c r="A10131" s="4"/>
      <c r="B10131" s="4"/>
      <c r="D10131" s="4"/>
      <c r="E10131" s="4"/>
      <c r="F10131" s="4"/>
    </row>
    <row r="10132" spans="1:6" x14ac:dyDescent="0.4">
      <c r="A10132" s="4"/>
      <c r="B10132" s="4"/>
      <c r="D10132" s="4"/>
      <c r="E10132" s="4"/>
      <c r="F10132" s="4"/>
    </row>
    <row r="10133" spans="1:6" x14ac:dyDescent="0.4">
      <c r="A10133" s="4"/>
      <c r="B10133" s="4"/>
      <c r="D10133" s="4"/>
      <c r="E10133" s="4"/>
      <c r="F10133" s="4"/>
    </row>
    <row r="10134" spans="1:6" x14ac:dyDescent="0.4">
      <c r="A10134" s="4"/>
      <c r="B10134" s="4"/>
      <c r="D10134" s="4"/>
      <c r="E10134" s="4"/>
      <c r="F10134" s="4"/>
    </row>
    <row r="10135" spans="1:6" x14ac:dyDescent="0.4">
      <c r="A10135" s="4"/>
      <c r="B10135" s="4"/>
      <c r="D10135" s="4"/>
      <c r="E10135" s="4"/>
      <c r="F10135" s="4"/>
    </row>
    <row r="10136" spans="1:6" x14ac:dyDescent="0.4">
      <c r="A10136" s="4"/>
      <c r="B10136" s="4"/>
      <c r="D10136" s="4"/>
      <c r="E10136" s="4"/>
      <c r="F10136" s="4"/>
    </row>
    <row r="10137" spans="1:6" x14ac:dyDescent="0.4">
      <c r="A10137" s="4"/>
      <c r="B10137" s="4"/>
      <c r="D10137" s="4"/>
      <c r="E10137" s="4"/>
      <c r="F10137" s="4"/>
    </row>
    <row r="10138" spans="1:6" x14ac:dyDescent="0.4">
      <c r="A10138" s="4"/>
      <c r="B10138" s="4"/>
      <c r="D10138" s="4"/>
      <c r="E10138" s="4"/>
      <c r="F10138" s="4"/>
    </row>
    <row r="10139" spans="1:6" x14ac:dyDescent="0.4">
      <c r="A10139" s="4"/>
      <c r="B10139" s="4"/>
      <c r="D10139" s="4"/>
      <c r="E10139" s="4"/>
      <c r="F10139" s="4"/>
    </row>
    <row r="10140" spans="1:6" x14ac:dyDescent="0.4">
      <c r="A10140" s="4"/>
      <c r="B10140" s="4"/>
      <c r="D10140" s="4"/>
      <c r="E10140" s="4"/>
      <c r="F10140" s="4"/>
    </row>
    <row r="10141" spans="1:6" x14ac:dyDescent="0.4">
      <c r="A10141" s="4"/>
      <c r="B10141" s="4"/>
      <c r="D10141" s="4"/>
      <c r="E10141" s="4"/>
      <c r="F10141" s="4"/>
    </row>
    <row r="10142" spans="1:6" x14ac:dyDescent="0.4">
      <c r="A10142" s="4"/>
      <c r="B10142" s="4"/>
      <c r="D10142" s="4"/>
      <c r="E10142" s="4"/>
      <c r="F10142" s="4"/>
    </row>
    <row r="10143" spans="1:6" x14ac:dyDescent="0.4">
      <c r="A10143" s="4"/>
      <c r="B10143" s="4"/>
      <c r="D10143" s="4"/>
      <c r="E10143" s="4"/>
      <c r="F10143" s="4"/>
    </row>
    <row r="10144" spans="1:6" x14ac:dyDescent="0.4">
      <c r="A10144" s="4"/>
      <c r="B10144" s="4"/>
      <c r="D10144" s="4"/>
      <c r="E10144" s="4"/>
      <c r="F10144" s="4"/>
    </row>
    <row r="10145" spans="1:6" x14ac:dyDescent="0.4">
      <c r="A10145" s="4"/>
      <c r="B10145" s="4"/>
      <c r="D10145" s="4"/>
      <c r="E10145" s="4"/>
      <c r="F10145" s="4"/>
    </row>
    <row r="10146" spans="1:6" x14ac:dyDescent="0.4">
      <c r="A10146" s="4"/>
      <c r="B10146" s="4"/>
      <c r="D10146" s="4"/>
      <c r="E10146" s="4"/>
      <c r="F10146" s="4"/>
    </row>
    <row r="10147" spans="1:6" x14ac:dyDescent="0.4">
      <c r="A10147" s="4"/>
      <c r="B10147" s="4"/>
      <c r="D10147" s="4"/>
      <c r="E10147" s="4"/>
      <c r="F10147" s="4"/>
    </row>
    <row r="10148" spans="1:6" x14ac:dyDescent="0.4">
      <c r="A10148" s="4"/>
      <c r="B10148" s="4"/>
      <c r="D10148" s="4"/>
      <c r="E10148" s="4"/>
      <c r="F10148" s="4"/>
    </row>
    <row r="10149" spans="1:6" x14ac:dyDescent="0.4">
      <c r="A10149" s="4"/>
      <c r="B10149" s="4"/>
      <c r="D10149" s="4"/>
      <c r="E10149" s="4"/>
      <c r="F10149" s="4"/>
    </row>
    <row r="10150" spans="1:6" x14ac:dyDescent="0.4">
      <c r="A10150" s="4"/>
      <c r="B10150" s="4"/>
      <c r="D10150" s="4"/>
      <c r="E10150" s="4"/>
      <c r="F10150" s="4"/>
    </row>
    <row r="10151" spans="1:6" x14ac:dyDescent="0.4">
      <c r="A10151" s="4"/>
      <c r="B10151" s="4"/>
      <c r="D10151" s="4"/>
      <c r="E10151" s="4"/>
      <c r="F10151" s="4"/>
    </row>
    <row r="10152" spans="1:6" x14ac:dyDescent="0.4">
      <c r="A10152" s="4"/>
      <c r="B10152" s="4"/>
      <c r="D10152" s="4"/>
      <c r="E10152" s="4"/>
      <c r="F10152" s="4"/>
    </row>
    <row r="10153" spans="1:6" x14ac:dyDescent="0.4">
      <c r="A10153" s="4"/>
      <c r="B10153" s="4"/>
      <c r="D10153" s="4"/>
      <c r="E10153" s="4"/>
      <c r="F10153" s="4"/>
    </row>
    <row r="10154" spans="1:6" x14ac:dyDescent="0.4">
      <c r="A10154" s="4"/>
      <c r="B10154" s="4"/>
      <c r="D10154" s="4"/>
      <c r="E10154" s="4"/>
      <c r="F10154" s="4"/>
    </row>
    <row r="10155" spans="1:6" x14ac:dyDescent="0.4">
      <c r="A10155" s="4"/>
      <c r="B10155" s="4"/>
      <c r="D10155" s="4"/>
      <c r="E10155" s="4"/>
      <c r="F10155" s="4"/>
    </row>
    <row r="10156" spans="1:6" x14ac:dyDescent="0.4">
      <c r="A10156" s="4"/>
      <c r="B10156" s="4"/>
      <c r="D10156" s="4"/>
      <c r="E10156" s="4"/>
      <c r="F10156" s="4"/>
    </row>
    <row r="10157" spans="1:6" x14ac:dyDescent="0.4">
      <c r="A10157" s="4"/>
      <c r="B10157" s="4"/>
      <c r="D10157" s="4"/>
      <c r="E10157" s="4"/>
      <c r="F10157" s="4"/>
    </row>
    <row r="10158" spans="1:6" x14ac:dyDescent="0.4">
      <c r="A10158" s="4"/>
      <c r="B10158" s="4"/>
      <c r="D10158" s="4"/>
      <c r="E10158" s="4"/>
      <c r="F10158" s="4"/>
    </row>
    <row r="10159" spans="1:6" x14ac:dyDescent="0.4">
      <c r="A10159" s="4"/>
      <c r="B10159" s="4"/>
      <c r="D10159" s="4"/>
      <c r="E10159" s="4"/>
      <c r="F10159" s="4"/>
    </row>
    <row r="10160" spans="1:6" x14ac:dyDescent="0.4">
      <c r="A10160" s="4"/>
      <c r="B10160" s="4"/>
      <c r="D10160" s="4"/>
      <c r="E10160" s="4"/>
      <c r="F10160" s="4"/>
    </row>
    <row r="10161" spans="1:6" x14ac:dyDescent="0.4">
      <c r="A10161" s="4"/>
      <c r="B10161" s="4"/>
      <c r="D10161" s="4"/>
      <c r="E10161" s="4"/>
      <c r="F10161" s="4"/>
    </row>
    <row r="10162" spans="1:6" x14ac:dyDescent="0.4">
      <c r="A10162" s="4"/>
      <c r="B10162" s="4"/>
      <c r="D10162" s="4"/>
      <c r="E10162" s="4"/>
      <c r="F10162" s="4"/>
    </row>
    <row r="10163" spans="1:6" x14ac:dyDescent="0.4">
      <c r="A10163" s="4"/>
      <c r="B10163" s="4"/>
      <c r="D10163" s="4"/>
      <c r="E10163" s="4"/>
      <c r="F10163" s="4"/>
    </row>
    <row r="10164" spans="1:6" x14ac:dyDescent="0.4">
      <c r="A10164" s="4"/>
      <c r="B10164" s="4"/>
      <c r="D10164" s="4"/>
      <c r="E10164" s="4"/>
      <c r="F10164" s="4"/>
    </row>
    <row r="10165" spans="1:6" x14ac:dyDescent="0.4">
      <c r="A10165" s="4"/>
      <c r="B10165" s="4"/>
      <c r="D10165" s="4"/>
      <c r="E10165" s="4"/>
      <c r="F10165" s="4"/>
    </row>
    <row r="10166" spans="1:6" x14ac:dyDescent="0.4">
      <c r="A10166" s="4"/>
      <c r="B10166" s="4"/>
      <c r="D10166" s="4"/>
      <c r="E10166" s="4"/>
      <c r="F10166" s="4"/>
    </row>
    <row r="10167" spans="1:6" x14ac:dyDescent="0.4">
      <c r="A10167" s="4"/>
      <c r="B10167" s="4"/>
      <c r="D10167" s="4"/>
      <c r="E10167" s="4"/>
      <c r="F10167" s="4"/>
    </row>
    <row r="10168" spans="1:6" x14ac:dyDescent="0.4">
      <c r="A10168" s="4"/>
      <c r="B10168" s="4"/>
      <c r="D10168" s="4"/>
      <c r="E10168" s="4"/>
      <c r="F10168" s="4"/>
    </row>
    <row r="10169" spans="1:6" x14ac:dyDescent="0.4">
      <c r="A10169" s="4"/>
      <c r="B10169" s="4"/>
      <c r="D10169" s="4"/>
      <c r="E10169" s="4"/>
      <c r="F10169" s="4"/>
    </row>
    <row r="10170" spans="1:6" x14ac:dyDescent="0.4">
      <c r="A10170" s="4"/>
      <c r="B10170" s="4"/>
      <c r="D10170" s="4"/>
      <c r="E10170" s="4"/>
      <c r="F10170" s="4"/>
    </row>
    <row r="10171" spans="1:6" x14ac:dyDescent="0.4">
      <c r="A10171" s="4"/>
      <c r="B10171" s="4"/>
      <c r="D10171" s="4"/>
      <c r="E10171" s="4"/>
      <c r="F10171" s="4"/>
    </row>
    <row r="10172" spans="1:6" x14ac:dyDescent="0.4">
      <c r="A10172" s="4"/>
      <c r="B10172" s="4"/>
      <c r="D10172" s="4"/>
      <c r="E10172" s="4"/>
      <c r="F10172" s="4"/>
    </row>
    <row r="10173" spans="1:6" x14ac:dyDescent="0.4">
      <c r="A10173" s="4"/>
      <c r="B10173" s="4"/>
      <c r="D10173" s="4"/>
      <c r="E10173" s="4"/>
      <c r="F10173" s="4"/>
    </row>
    <row r="10174" spans="1:6" x14ac:dyDescent="0.4">
      <c r="A10174" s="4"/>
      <c r="B10174" s="4"/>
      <c r="D10174" s="4"/>
      <c r="E10174" s="4"/>
      <c r="F10174" s="4"/>
    </row>
    <row r="10175" spans="1:6" x14ac:dyDescent="0.4">
      <c r="A10175" s="4"/>
      <c r="B10175" s="4"/>
      <c r="D10175" s="4"/>
      <c r="E10175" s="4"/>
      <c r="F10175" s="4"/>
    </row>
    <row r="10176" spans="1:6" x14ac:dyDescent="0.4">
      <c r="A10176" s="4"/>
      <c r="B10176" s="4"/>
      <c r="D10176" s="4"/>
      <c r="E10176" s="4"/>
      <c r="F10176" s="4"/>
    </row>
    <row r="10177" spans="1:6" x14ac:dyDescent="0.4">
      <c r="A10177" s="4"/>
      <c r="B10177" s="4"/>
      <c r="D10177" s="4"/>
      <c r="E10177" s="4"/>
      <c r="F10177" s="4"/>
    </row>
    <row r="10178" spans="1:6" x14ac:dyDescent="0.4">
      <c r="A10178" s="4"/>
      <c r="B10178" s="4"/>
      <c r="D10178" s="4"/>
      <c r="E10178" s="4"/>
      <c r="F10178" s="4"/>
    </row>
    <row r="10179" spans="1:6" x14ac:dyDescent="0.4">
      <c r="A10179" s="4"/>
      <c r="B10179" s="4"/>
      <c r="D10179" s="4"/>
      <c r="E10179" s="4"/>
      <c r="F10179" s="4"/>
    </row>
    <row r="10180" spans="1:6" x14ac:dyDescent="0.4">
      <c r="A10180" s="4"/>
      <c r="B10180" s="4"/>
      <c r="D10180" s="4"/>
      <c r="E10180" s="4"/>
      <c r="F10180" s="4"/>
    </row>
    <row r="10181" spans="1:6" x14ac:dyDescent="0.4">
      <c r="A10181" s="4"/>
      <c r="B10181" s="4"/>
      <c r="D10181" s="4"/>
      <c r="E10181" s="4"/>
      <c r="F10181" s="4"/>
    </row>
    <row r="10182" spans="1:6" x14ac:dyDescent="0.4">
      <c r="A10182" s="4"/>
      <c r="B10182" s="4"/>
      <c r="D10182" s="4"/>
      <c r="E10182" s="4"/>
      <c r="F10182" s="4"/>
    </row>
    <row r="10183" spans="1:6" x14ac:dyDescent="0.4">
      <c r="A10183" s="4"/>
      <c r="B10183" s="4"/>
      <c r="D10183" s="4"/>
      <c r="E10183" s="4"/>
      <c r="F10183" s="4"/>
    </row>
    <row r="10184" spans="1:6" x14ac:dyDescent="0.4">
      <c r="A10184" s="4"/>
      <c r="B10184" s="4"/>
      <c r="D10184" s="4"/>
      <c r="E10184" s="4"/>
      <c r="F10184" s="4"/>
    </row>
    <row r="10185" spans="1:6" x14ac:dyDescent="0.4">
      <c r="A10185" s="4"/>
      <c r="B10185" s="4"/>
      <c r="D10185" s="4"/>
      <c r="E10185" s="4"/>
      <c r="F10185" s="4"/>
    </row>
    <row r="10186" spans="1:6" x14ac:dyDescent="0.4">
      <c r="A10186" s="4"/>
      <c r="B10186" s="4"/>
      <c r="D10186" s="4"/>
      <c r="E10186" s="4"/>
      <c r="F10186" s="4"/>
    </row>
    <row r="10187" spans="1:6" x14ac:dyDescent="0.4">
      <c r="A10187" s="4"/>
      <c r="B10187" s="4"/>
      <c r="D10187" s="4"/>
      <c r="E10187" s="4"/>
      <c r="F10187" s="4"/>
    </row>
    <row r="10188" spans="1:6" x14ac:dyDescent="0.4">
      <c r="A10188" s="4"/>
      <c r="B10188" s="4"/>
      <c r="D10188" s="4"/>
      <c r="E10188" s="4"/>
      <c r="F10188" s="4"/>
    </row>
    <row r="10189" spans="1:6" x14ac:dyDescent="0.4">
      <c r="A10189" s="4"/>
      <c r="B10189" s="4"/>
      <c r="D10189" s="4"/>
      <c r="E10189" s="4"/>
      <c r="F10189" s="4"/>
    </row>
    <row r="10190" spans="1:6" x14ac:dyDescent="0.4">
      <c r="A10190" s="4"/>
      <c r="B10190" s="4"/>
      <c r="D10190" s="4"/>
      <c r="E10190" s="4"/>
      <c r="F10190" s="4"/>
    </row>
    <row r="10191" spans="1:6" x14ac:dyDescent="0.4">
      <c r="A10191" s="4"/>
      <c r="B10191" s="4"/>
      <c r="D10191" s="4"/>
      <c r="E10191" s="4"/>
      <c r="F10191" s="4"/>
    </row>
    <row r="10192" spans="1:6" x14ac:dyDescent="0.4">
      <c r="A10192" s="4"/>
      <c r="B10192" s="4"/>
      <c r="D10192" s="4"/>
      <c r="E10192" s="4"/>
      <c r="F10192" s="4"/>
    </row>
    <row r="10193" spans="1:6" x14ac:dyDescent="0.4">
      <c r="A10193" s="4"/>
      <c r="B10193" s="4"/>
      <c r="D10193" s="4"/>
      <c r="E10193" s="4"/>
      <c r="F10193" s="4"/>
    </row>
    <row r="10194" spans="1:6" x14ac:dyDescent="0.4">
      <c r="A10194" s="4"/>
      <c r="B10194" s="4"/>
      <c r="D10194" s="4"/>
      <c r="E10194" s="4"/>
      <c r="F10194" s="4"/>
    </row>
    <row r="10195" spans="1:6" x14ac:dyDescent="0.4">
      <c r="A10195" s="4"/>
      <c r="B10195" s="4"/>
      <c r="D10195" s="4"/>
      <c r="E10195" s="4"/>
      <c r="F10195" s="4"/>
    </row>
    <row r="10196" spans="1:6" x14ac:dyDescent="0.4">
      <c r="A10196" s="4"/>
      <c r="B10196" s="4"/>
      <c r="D10196" s="4"/>
      <c r="E10196" s="4"/>
      <c r="F10196" s="4"/>
    </row>
    <row r="10197" spans="1:6" x14ac:dyDescent="0.4">
      <c r="A10197" s="4"/>
      <c r="B10197" s="4"/>
      <c r="D10197" s="4"/>
      <c r="E10197" s="4"/>
      <c r="F10197" s="4"/>
    </row>
    <row r="10198" spans="1:6" x14ac:dyDescent="0.4">
      <c r="A10198" s="4"/>
      <c r="B10198" s="4"/>
      <c r="D10198" s="4"/>
      <c r="E10198" s="4"/>
      <c r="F10198" s="4"/>
    </row>
    <row r="10199" spans="1:6" x14ac:dyDescent="0.4">
      <c r="A10199" s="4"/>
      <c r="B10199" s="4"/>
      <c r="D10199" s="4"/>
      <c r="E10199" s="4"/>
      <c r="F10199" s="4"/>
    </row>
    <row r="10200" spans="1:6" x14ac:dyDescent="0.4">
      <c r="A10200" s="4"/>
      <c r="B10200" s="4"/>
      <c r="D10200" s="4"/>
      <c r="E10200" s="4"/>
      <c r="F10200" s="4"/>
    </row>
    <row r="10201" spans="1:6" x14ac:dyDescent="0.4">
      <c r="A10201" s="4"/>
      <c r="B10201" s="4"/>
      <c r="D10201" s="4"/>
      <c r="E10201" s="4"/>
      <c r="F10201" s="4"/>
    </row>
    <row r="10202" spans="1:6" x14ac:dyDescent="0.4">
      <c r="A10202" s="4"/>
      <c r="B10202" s="4"/>
      <c r="D10202" s="4"/>
      <c r="E10202" s="4"/>
      <c r="F10202" s="4"/>
    </row>
    <row r="10203" spans="1:6" x14ac:dyDescent="0.4">
      <c r="A10203" s="4"/>
      <c r="B10203" s="4"/>
      <c r="D10203" s="4"/>
      <c r="E10203" s="4"/>
      <c r="F10203" s="4"/>
    </row>
    <row r="10204" spans="1:6" x14ac:dyDescent="0.4">
      <c r="A10204" s="4"/>
      <c r="B10204" s="4"/>
      <c r="D10204" s="4"/>
      <c r="E10204" s="4"/>
      <c r="F10204" s="4"/>
    </row>
    <row r="10205" spans="1:6" x14ac:dyDescent="0.4">
      <c r="A10205" s="4"/>
      <c r="B10205" s="4"/>
      <c r="D10205" s="4"/>
      <c r="E10205" s="4"/>
      <c r="F10205" s="4"/>
    </row>
    <row r="10206" spans="1:6" x14ac:dyDescent="0.4">
      <c r="A10206" s="4"/>
      <c r="B10206" s="4"/>
      <c r="D10206" s="4"/>
      <c r="E10206" s="4"/>
      <c r="F10206" s="4"/>
    </row>
    <row r="10207" spans="1:6" x14ac:dyDescent="0.4">
      <c r="A10207" s="4"/>
      <c r="B10207" s="4"/>
      <c r="D10207" s="4"/>
      <c r="E10207" s="4"/>
      <c r="F10207" s="4"/>
    </row>
    <row r="10208" spans="1:6" x14ac:dyDescent="0.4">
      <c r="A10208" s="4"/>
      <c r="B10208" s="4"/>
      <c r="D10208" s="4"/>
      <c r="E10208" s="4"/>
      <c r="F10208" s="4"/>
    </row>
    <row r="10209" spans="1:6" x14ac:dyDescent="0.4">
      <c r="A10209" s="4"/>
      <c r="B10209" s="4"/>
      <c r="D10209" s="4"/>
      <c r="E10209" s="4"/>
      <c r="F10209" s="4"/>
    </row>
    <row r="10210" spans="1:6" x14ac:dyDescent="0.4">
      <c r="A10210" s="4"/>
      <c r="B10210" s="4"/>
      <c r="D10210" s="4"/>
      <c r="E10210" s="4"/>
      <c r="F10210" s="4"/>
    </row>
    <row r="10211" spans="1:6" x14ac:dyDescent="0.4">
      <c r="A10211" s="4"/>
      <c r="B10211" s="4"/>
      <c r="D10211" s="4"/>
      <c r="E10211" s="4"/>
      <c r="F10211" s="4"/>
    </row>
    <row r="10212" spans="1:6" x14ac:dyDescent="0.4">
      <c r="A10212" s="4"/>
      <c r="B10212" s="4"/>
      <c r="D10212" s="4"/>
      <c r="E10212" s="4"/>
      <c r="F10212" s="4"/>
    </row>
    <row r="10213" spans="1:6" x14ac:dyDescent="0.4">
      <c r="A10213" s="4"/>
      <c r="B10213" s="4"/>
      <c r="D10213" s="4"/>
      <c r="E10213" s="4"/>
      <c r="F10213" s="4"/>
    </row>
    <row r="10214" spans="1:6" x14ac:dyDescent="0.4">
      <c r="A10214" s="4"/>
      <c r="B10214" s="4"/>
      <c r="D10214" s="4"/>
      <c r="E10214" s="4"/>
      <c r="F10214" s="4"/>
    </row>
    <row r="10215" spans="1:6" x14ac:dyDescent="0.4">
      <c r="A10215" s="4"/>
      <c r="B10215" s="4"/>
      <c r="D10215" s="4"/>
      <c r="E10215" s="4"/>
      <c r="F10215" s="4"/>
    </row>
    <row r="10216" spans="1:6" x14ac:dyDescent="0.4">
      <c r="A10216" s="4"/>
      <c r="B10216" s="4"/>
      <c r="D10216" s="4"/>
      <c r="E10216" s="4"/>
      <c r="F10216" s="4"/>
    </row>
    <row r="10217" spans="1:6" x14ac:dyDescent="0.4">
      <c r="A10217" s="4"/>
      <c r="B10217" s="4"/>
      <c r="D10217" s="4"/>
      <c r="E10217" s="4"/>
      <c r="F10217" s="4"/>
    </row>
    <row r="10218" spans="1:6" x14ac:dyDescent="0.4">
      <c r="A10218" s="4"/>
      <c r="B10218" s="4"/>
      <c r="D10218" s="4"/>
      <c r="E10218" s="4"/>
      <c r="F10218" s="4"/>
    </row>
    <row r="10219" spans="1:6" x14ac:dyDescent="0.4">
      <c r="A10219" s="4"/>
      <c r="B10219" s="4"/>
      <c r="D10219" s="4"/>
      <c r="E10219" s="4"/>
      <c r="F10219" s="4"/>
    </row>
    <row r="10220" spans="1:6" x14ac:dyDescent="0.4">
      <c r="A10220" s="4"/>
      <c r="B10220" s="4"/>
      <c r="D10220" s="4"/>
      <c r="E10220" s="4"/>
      <c r="F10220" s="4"/>
    </row>
    <row r="10221" spans="1:6" x14ac:dyDescent="0.4">
      <c r="A10221" s="4"/>
      <c r="B10221" s="4"/>
      <c r="D10221" s="4"/>
      <c r="E10221" s="4"/>
      <c r="F10221" s="4"/>
    </row>
    <row r="10222" spans="1:6" x14ac:dyDescent="0.4">
      <c r="A10222" s="4"/>
      <c r="B10222" s="4"/>
      <c r="D10222" s="4"/>
      <c r="E10222" s="4"/>
      <c r="F10222" s="4"/>
    </row>
    <row r="10223" spans="1:6" x14ac:dyDescent="0.4">
      <c r="A10223" s="4"/>
      <c r="B10223" s="4"/>
      <c r="D10223" s="4"/>
      <c r="E10223" s="4"/>
      <c r="F10223" s="4"/>
    </row>
    <row r="10224" spans="1:6" x14ac:dyDescent="0.4">
      <c r="A10224" s="4"/>
      <c r="B10224" s="4"/>
      <c r="D10224" s="4"/>
      <c r="E10224" s="4"/>
      <c r="F10224" s="4"/>
    </row>
    <row r="10225" spans="1:6" x14ac:dyDescent="0.4">
      <c r="A10225" s="4"/>
      <c r="B10225" s="4"/>
      <c r="D10225" s="4"/>
      <c r="E10225" s="4"/>
      <c r="F10225" s="4"/>
    </row>
    <row r="10226" spans="1:6" x14ac:dyDescent="0.4">
      <c r="A10226" s="4"/>
      <c r="B10226" s="4"/>
      <c r="D10226" s="4"/>
      <c r="E10226" s="4"/>
      <c r="F10226" s="4"/>
    </row>
    <row r="10227" spans="1:6" x14ac:dyDescent="0.4">
      <c r="A10227" s="4"/>
      <c r="B10227" s="4"/>
      <c r="D10227" s="4"/>
      <c r="E10227" s="4"/>
      <c r="F10227" s="4"/>
    </row>
    <row r="10228" spans="1:6" x14ac:dyDescent="0.4">
      <c r="A10228" s="4"/>
      <c r="B10228" s="4"/>
      <c r="D10228" s="4"/>
      <c r="E10228" s="4"/>
      <c r="F10228" s="4"/>
    </row>
    <row r="10229" spans="1:6" x14ac:dyDescent="0.4">
      <c r="A10229" s="4"/>
      <c r="B10229" s="4"/>
      <c r="D10229" s="4"/>
      <c r="E10229" s="4"/>
      <c r="F10229" s="4"/>
    </row>
    <row r="10230" spans="1:6" x14ac:dyDescent="0.4">
      <c r="A10230" s="4"/>
      <c r="B10230" s="4"/>
      <c r="D10230" s="4"/>
      <c r="E10230" s="4"/>
      <c r="F10230" s="4"/>
    </row>
    <row r="10231" spans="1:6" x14ac:dyDescent="0.4">
      <c r="A10231" s="4"/>
      <c r="B10231" s="4"/>
      <c r="D10231" s="4"/>
      <c r="E10231" s="4"/>
      <c r="F10231" s="4"/>
    </row>
    <row r="10232" spans="1:6" x14ac:dyDescent="0.4">
      <c r="A10232" s="4"/>
      <c r="B10232" s="4"/>
      <c r="D10232" s="4"/>
      <c r="E10232" s="4"/>
      <c r="F10232" s="4"/>
    </row>
    <row r="10233" spans="1:6" x14ac:dyDescent="0.4">
      <c r="A10233" s="4"/>
      <c r="B10233" s="4"/>
      <c r="D10233" s="4"/>
      <c r="E10233" s="4"/>
      <c r="F10233" s="4"/>
    </row>
    <row r="10234" spans="1:6" x14ac:dyDescent="0.4">
      <c r="A10234" s="4"/>
      <c r="B10234" s="4"/>
      <c r="D10234" s="4"/>
      <c r="E10234" s="4"/>
      <c r="F10234" s="4"/>
    </row>
    <row r="10235" spans="1:6" x14ac:dyDescent="0.4">
      <c r="A10235" s="4"/>
      <c r="B10235" s="4"/>
      <c r="D10235" s="4"/>
      <c r="E10235" s="4"/>
      <c r="F10235" s="4"/>
    </row>
    <row r="10236" spans="1:6" x14ac:dyDescent="0.4">
      <c r="A10236" s="4"/>
      <c r="B10236" s="4"/>
      <c r="D10236" s="4"/>
      <c r="E10236" s="4"/>
      <c r="F10236" s="4"/>
    </row>
    <row r="10237" spans="1:6" x14ac:dyDescent="0.4">
      <c r="A10237" s="4"/>
      <c r="B10237" s="4"/>
      <c r="D10237" s="4"/>
      <c r="E10237" s="4"/>
      <c r="F10237" s="4"/>
    </row>
    <row r="10238" spans="1:6" x14ac:dyDescent="0.4">
      <c r="A10238" s="4"/>
      <c r="B10238" s="4"/>
      <c r="D10238" s="4"/>
      <c r="E10238" s="4"/>
      <c r="F10238" s="4"/>
    </row>
    <row r="10239" spans="1:6" x14ac:dyDescent="0.4">
      <c r="A10239" s="4"/>
      <c r="B10239" s="4"/>
      <c r="D10239" s="4"/>
      <c r="E10239" s="4"/>
      <c r="F10239" s="4"/>
    </row>
    <row r="10240" spans="1:6" x14ac:dyDescent="0.4">
      <c r="A10240" s="4"/>
      <c r="B10240" s="4"/>
      <c r="D10240" s="4"/>
      <c r="E10240" s="4"/>
      <c r="F10240" s="4"/>
    </row>
    <row r="10241" spans="1:6" x14ac:dyDescent="0.4">
      <c r="A10241" s="4"/>
      <c r="B10241" s="4"/>
      <c r="D10241" s="4"/>
      <c r="E10241" s="4"/>
      <c r="F10241" s="4"/>
    </row>
    <row r="10242" spans="1:6" x14ac:dyDescent="0.4">
      <c r="A10242" s="4"/>
      <c r="B10242" s="4"/>
      <c r="D10242" s="4"/>
      <c r="E10242" s="4"/>
      <c r="F10242" s="4"/>
    </row>
    <row r="10243" spans="1:6" x14ac:dyDescent="0.4">
      <c r="A10243" s="4"/>
      <c r="B10243" s="4"/>
      <c r="D10243" s="4"/>
      <c r="E10243" s="4"/>
      <c r="F10243" s="4"/>
    </row>
    <row r="10244" spans="1:6" x14ac:dyDescent="0.4">
      <c r="A10244" s="4"/>
      <c r="B10244" s="4"/>
      <c r="D10244" s="4"/>
      <c r="E10244" s="4"/>
      <c r="F10244" s="4"/>
    </row>
    <row r="10245" spans="1:6" x14ac:dyDescent="0.4">
      <c r="A10245" s="4"/>
      <c r="B10245" s="4"/>
      <c r="D10245" s="4"/>
      <c r="E10245" s="4"/>
      <c r="F10245" s="4"/>
    </row>
    <row r="10246" spans="1:6" x14ac:dyDescent="0.4">
      <c r="A10246" s="4"/>
      <c r="B10246" s="4"/>
      <c r="D10246" s="4"/>
      <c r="E10246" s="4"/>
      <c r="F10246" s="4"/>
    </row>
    <row r="10247" spans="1:6" x14ac:dyDescent="0.4">
      <c r="A10247" s="4"/>
      <c r="B10247" s="4"/>
      <c r="D10247" s="4"/>
      <c r="E10247" s="4"/>
      <c r="F10247" s="4"/>
    </row>
    <row r="10248" spans="1:6" x14ac:dyDescent="0.4">
      <c r="A10248" s="4"/>
      <c r="B10248" s="4"/>
      <c r="D10248" s="4"/>
      <c r="E10248" s="4"/>
      <c r="F10248" s="4"/>
    </row>
    <row r="10249" spans="1:6" x14ac:dyDescent="0.4">
      <c r="A10249" s="4"/>
      <c r="B10249" s="4"/>
      <c r="D10249" s="4"/>
      <c r="E10249" s="4"/>
      <c r="F10249" s="4"/>
    </row>
    <row r="10250" spans="1:6" x14ac:dyDescent="0.4">
      <c r="A10250" s="4"/>
      <c r="B10250" s="4"/>
      <c r="D10250" s="4"/>
      <c r="E10250" s="4"/>
      <c r="F10250" s="4"/>
    </row>
    <row r="10251" spans="1:6" x14ac:dyDescent="0.4">
      <c r="A10251" s="4"/>
      <c r="B10251" s="4"/>
      <c r="D10251" s="4"/>
      <c r="E10251" s="4"/>
      <c r="F10251" s="4"/>
    </row>
    <row r="10252" spans="1:6" x14ac:dyDescent="0.4">
      <c r="A10252" s="4"/>
      <c r="B10252" s="4"/>
      <c r="D10252" s="4"/>
      <c r="E10252" s="4"/>
      <c r="F10252" s="4"/>
    </row>
    <row r="10253" spans="1:6" x14ac:dyDescent="0.4">
      <c r="A10253" s="4"/>
      <c r="B10253" s="4"/>
      <c r="D10253" s="4"/>
      <c r="E10253" s="4"/>
      <c r="F10253" s="4"/>
    </row>
    <row r="10254" spans="1:6" x14ac:dyDescent="0.4">
      <c r="A10254" s="4"/>
      <c r="B10254" s="4"/>
      <c r="D10254" s="4"/>
      <c r="E10254" s="4"/>
      <c r="F10254" s="4"/>
    </row>
    <row r="10255" spans="1:6" x14ac:dyDescent="0.4">
      <c r="A10255" s="4"/>
      <c r="B10255" s="4"/>
      <c r="D10255" s="4"/>
      <c r="E10255" s="4"/>
      <c r="F10255" s="4"/>
    </row>
    <row r="10256" spans="1:6" x14ac:dyDescent="0.4">
      <c r="A10256" s="4"/>
      <c r="B10256" s="4"/>
      <c r="D10256" s="4"/>
      <c r="E10256" s="4"/>
      <c r="F10256" s="4"/>
    </row>
    <row r="10257" spans="1:6" x14ac:dyDescent="0.4">
      <c r="A10257" s="4"/>
      <c r="B10257" s="4"/>
      <c r="D10257" s="4"/>
      <c r="E10257" s="4"/>
      <c r="F10257" s="4"/>
    </row>
    <row r="10258" spans="1:6" x14ac:dyDescent="0.4">
      <c r="A10258" s="4"/>
      <c r="B10258" s="4"/>
      <c r="D10258" s="4"/>
      <c r="E10258" s="4"/>
      <c r="F10258" s="4"/>
    </row>
    <row r="10259" spans="1:6" x14ac:dyDescent="0.4">
      <c r="A10259" s="4"/>
      <c r="B10259" s="4"/>
      <c r="D10259" s="4"/>
      <c r="E10259" s="4"/>
      <c r="F10259" s="4"/>
    </row>
    <row r="10260" spans="1:6" x14ac:dyDescent="0.4">
      <c r="A10260" s="4"/>
      <c r="B10260" s="4"/>
      <c r="D10260" s="4"/>
      <c r="E10260" s="4"/>
      <c r="F10260" s="4"/>
    </row>
    <row r="10261" spans="1:6" x14ac:dyDescent="0.4">
      <c r="A10261" s="4"/>
      <c r="B10261" s="4"/>
      <c r="D10261" s="4"/>
      <c r="E10261" s="4"/>
      <c r="F10261" s="4"/>
    </row>
    <row r="10262" spans="1:6" x14ac:dyDescent="0.4">
      <c r="A10262" s="4"/>
      <c r="B10262" s="4"/>
      <c r="D10262" s="4"/>
      <c r="E10262" s="4"/>
      <c r="F10262" s="4"/>
    </row>
    <row r="10263" spans="1:6" x14ac:dyDescent="0.4">
      <c r="A10263" s="4"/>
      <c r="B10263" s="4"/>
      <c r="D10263" s="4"/>
      <c r="E10263" s="4"/>
      <c r="F10263" s="4"/>
    </row>
    <row r="10264" spans="1:6" x14ac:dyDescent="0.4">
      <c r="A10264" s="4"/>
      <c r="B10264" s="4"/>
      <c r="D10264" s="4"/>
      <c r="E10264" s="4"/>
      <c r="F10264" s="4"/>
    </row>
    <row r="10265" spans="1:6" x14ac:dyDescent="0.4">
      <c r="A10265" s="4"/>
      <c r="B10265" s="4"/>
      <c r="D10265" s="4"/>
      <c r="E10265" s="4"/>
      <c r="F10265" s="4"/>
    </row>
    <row r="10266" spans="1:6" x14ac:dyDescent="0.4">
      <c r="A10266" s="4"/>
      <c r="B10266" s="4"/>
      <c r="D10266" s="4"/>
      <c r="E10266" s="4"/>
      <c r="F10266" s="4"/>
    </row>
    <row r="10267" spans="1:6" x14ac:dyDescent="0.4">
      <c r="A10267" s="4"/>
      <c r="B10267" s="4"/>
      <c r="D10267" s="4"/>
      <c r="E10267" s="4"/>
      <c r="F10267" s="4"/>
    </row>
    <row r="10268" spans="1:6" x14ac:dyDescent="0.4">
      <c r="A10268" s="4"/>
      <c r="B10268" s="4"/>
      <c r="D10268" s="4"/>
      <c r="E10268" s="4"/>
      <c r="F10268" s="4"/>
    </row>
    <row r="10269" spans="1:6" x14ac:dyDescent="0.4">
      <c r="A10269" s="4"/>
      <c r="B10269" s="4"/>
      <c r="D10269" s="4"/>
      <c r="E10269" s="4"/>
      <c r="F10269" s="4"/>
    </row>
    <row r="10270" spans="1:6" x14ac:dyDescent="0.4">
      <c r="A10270" s="4"/>
      <c r="B10270" s="4"/>
      <c r="D10270" s="4"/>
      <c r="E10270" s="4"/>
      <c r="F10270" s="4"/>
    </row>
    <row r="10271" spans="1:6" x14ac:dyDescent="0.4">
      <c r="A10271" s="4"/>
      <c r="B10271" s="4"/>
      <c r="D10271" s="4"/>
      <c r="E10271" s="4"/>
      <c r="F10271" s="4"/>
    </row>
    <row r="10272" spans="1:6" x14ac:dyDescent="0.4">
      <c r="A10272" s="4"/>
      <c r="B10272" s="4"/>
      <c r="D10272" s="4"/>
      <c r="E10272" s="4"/>
      <c r="F10272" s="4"/>
    </row>
    <row r="10273" spans="1:6" x14ac:dyDescent="0.4">
      <c r="A10273" s="4"/>
      <c r="B10273" s="4"/>
      <c r="D10273" s="4"/>
      <c r="E10273" s="4"/>
      <c r="F10273" s="4"/>
    </row>
    <row r="10274" spans="1:6" x14ac:dyDescent="0.4">
      <c r="A10274" s="4"/>
      <c r="B10274" s="4"/>
      <c r="D10274" s="4"/>
      <c r="E10274" s="4"/>
      <c r="F10274" s="4"/>
    </row>
    <row r="10275" spans="1:6" x14ac:dyDescent="0.4">
      <c r="A10275" s="4"/>
      <c r="B10275" s="4"/>
      <c r="D10275" s="4"/>
      <c r="E10275" s="4"/>
      <c r="F10275" s="4"/>
    </row>
    <row r="10276" spans="1:6" x14ac:dyDescent="0.4">
      <c r="A10276" s="4"/>
      <c r="B10276" s="4"/>
      <c r="D10276" s="4"/>
      <c r="E10276" s="4"/>
      <c r="F10276" s="4"/>
    </row>
    <row r="10277" spans="1:6" x14ac:dyDescent="0.4">
      <c r="A10277" s="4"/>
      <c r="B10277" s="4"/>
      <c r="D10277" s="4"/>
      <c r="E10277" s="4"/>
      <c r="F10277" s="4"/>
    </row>
    <row r="10278" spans="1:6" x14ac:dyDescent="0.4">
      <c r="A10278" s="4"/>
      <c r="B10278" s="4"/>
      <c r="D10278" s="4"/>
      <c r="E10278" s="4"/>
      <c r="F10278" s="4"/>
    </row>
    <row r="10279" spans="1:6" x14ac:dyDescent="0.4">
      <c r="A10279" s="4"/>
      <c r="B10279" s="4"/>
      <c r="D10279" s="4"/>
      <c r="E10279" s="4"/>
      <c r="F10279" s="4"/>
    </row>
    <row r="10280" spans="1:6" x14ac:dyDescent="0.4">
      <c r="A10280" s="4"/>
      <c r="B10280" s="4"/>
      <c r="D10280" s="4"/>
      <c r="E10280" s="4"/>
      <c r="F10280" s="4"/>
    </row>
    <row r="10281" spans="1:6" x14ac:dyDescent="0.4">
      <c r="A10281" s="4"/>
      <c r="B10281" s="4"/>
      <c r="D10281" s="4"/>
      <c r="E10281" s="4"/>
      <c r="F10281" s="4"/>
    </row>
    <row r="10282" spans="1:6" x14ac:dyDescent="0.4">
      <c r="A10282" s="4"/>
      <c r="B10282" s="4"/>
      <c r="D10282" s="4"/>
      <c r="E10282" s="4"/>
      <c r="F10282" s="4"/>
    </row>
    <row r="10283" spans="1:6" x14ac:dyDescent="0.4">
      <c r="A10283" s="4"/>
      <c r="B10283" s="4"/>
      <c r="D10283" s="4"/>
      <c r="E10283" s="4"/>
      <c r="F10283" s="4"/>
    </row>
    <row r="10284" spans="1:6" x14ac:dyDescent="0.4">
      <c r="A10284" s="4"/>
      <c r="B10284" s="4"/>
      <c r="D10284" s="4"/>
      <c r="E10284" s="4"/>
      <c r="F10284" s="4"/>
    </row>
    <row r="10285" spans="1:6" x14ac:dyDescent="0.4">
      <c r="A10285" s="4"/>
      <c r="B10285" s="4"/>
      <c r="D10285" s="4"/>
      <c r="E10285" s="4"/>
      <c r="F10285" s="4"/>
    </row>
    <row r="10286" spans="1:6" x14ac:dyDescent="0.4">
      <c r="A10286" s="4"/>
      <c r="B10286" s="4"/>
      <c r="D10286" s="4"/>
      <c r="E10286" s="4"/>
      <c r="F10286" s="4"/>
    </row>
    <row r="10287" spans="1:6" x14ac:dyDescent="0.4">
      <c r="A10287" s="4"/>
      <c r="B10287" s="4"/>
      <c r="D10287" s="4"/>
      <c r="E10287" s="4"/>
      <c r="F10287" s="4"/>
    </row>
    <row r="10288" spans="1:6" x14ac:dyDescent="0.4">
      <c r="A10288" s="4"/>
      <c r="B10288" s="4"/>
      <c r="D10288" s="4"/>
      <c r="E10288" s="4"/>
      <c r="F10288" s="4"/>
    </row>
    <row r="10289" spans="1:6" x14ac:dyDescent="0.4">
      <c r="A10289" s="4"/>
      <c r="B10289" s="4"/>
      <c r="D10289" s="4"/>
      <c r="E10289" s="4"/>
      <c r="F10289" s="4"/>
    </row>
    <row r="10290" spans="1:6" x14ac:dyDescent="0.4">
      <c r="A10290" s="4"/>
      <c r="B10290" s="4"/>
      <c r="D10290" s="4"/>
      <c r="E10290" s="4"/>
      <c r="F10290" s="4"/>
    </row>
    <row r="10291" spans="1:6" x14ac:dyDescent="0.4">
      <c r="A10291" s="4"/>
      <c r="B10291" s="4"/>
      <c r="D10291" s="4"/>
      <c r="E10291" s="4"/>
      <c r="F10291" s="4"/>
    </row>
    <row r="10292" spans="1:6" x14ac:dyDescent="0.4">
      <c r="A10292" s="4"/>
      <c r="B10292" s="4"/>
      <c r="D10292" s="4"/>
      <c r="E10292" s="4"/>
      <c r="F10292" s="4"/>
    </row>
    <row r="10293" spans="1:6" x14ac:dyDescent="0.4">
      <c r="A10293" s="4"/>
      <c r="B10293" s="4"/>
      <c r="D10293" s="4"/>
      <c r="E10293" s="4"/>
      <c r="F10293" s="4"/>
    </row>
    <row r="10294" spans="1:6" x14ac:dyDescent="0.4">
      <c r="A10294" s="4"/>
      <c r="B10294" s="4"/>
      <c r="D10294" s="4"/>
      <c r="E10294" s="4"/>
      <c r="F10294" s="4"/>
    </row>
    <row r="10295" spans="1:6" x14ac:dyDescent="0.4">
      <c r="A10295" s="4"/>
      <c r="B10295" s="4"/>
      <c r="D10295" s="4"/>
      <c r="E10295" s="4"/>
      <c r="F10295" s="4"/>
    </row>
    <row r="10296" spans="1:6" x14ac:dyDescent="0.4">
      <c r="A10296" s="4"/>
      <c r="B10296" s="4"/>
      <c r="D10296" s="4"/>
      <c r="E10296" s="4"/>
      <c r="F10296" s="4"/>
    </row>
    <row r="10297" spans="1:6" x14ac:dyDescent="0.4">
      <c r="A10297" s="4"/>
      <c r="B10297" s="4"/>
      <c r="D10297" s="4"/>
      <c r="E10297" s="4"/>
      <c r="F10297" s="4"/>
    </row>
    <row r="10298" spans="1:6" x14ac:dyDescent="0.4">
      <c r="A10298" s="4"/>
      <c r="B10298" s="4"/>
      <c r="D10298" s="4"/>
      <c r="E10298" s="4"/>
      <c r="F10298" s="4"/>
    </row>
    <row r="10299" spans="1:6" x14ac:dyDescent="0.4">
      <c r="A10299" s="4"/>
      <c r="B10299" s="4"/>
      <c r="D10299" s="4"/>
      <c r="E10299" s="4"/>
      <c r="F10299" s="4"/>
    </row>
    <row r="10300" spans="1:6" x14ac:dyDescent="0.4">
      <c r="A10300" s="4"/>
      <c r="B10300" s="4"/>
      <c r="D10300" s="4"/>
      <c r="E10300" s="4"/>
      <c r="F10300" s="4"/>
    </row>
    <row r="10301" spans="1:6" x14ac:dyDescent="0.4">
      <c r="A10301" s="4"/>
      <c r="B10301" s="4"/>
      <c r="D10301" s="4"/>
      <c r="E10301" s="4"/>
      <c r="F10301" s="4"/>
    </row>
    <row r="10302" spans="1:6" x14ac:dyDescent="0.4">
      <c r="A10302" s="4"/>
      <c r="B10302" s="4"/>
      <c r="D10302" s="4"/>
      <c r="E10302" s="4"/>
      <c r="F10302" s="4"/>
    </row>
    <row r="10303" spans="1:6" x14ac:dyDescent="0.4">
      <c r="A10303" s="4"/>
      <c r="B10303" s="4"/>
      <c r="D10303" s="4"/>
      <c r="E10303" s="4"/>
      <c r="F10303" s="4"/>
    </row>
    <row r="10304" spans="1:6" x14ac:dyDescent="0.4">
      <c r="A10304" s="4"/>
      <c r="B10304" s="4"/>
      <c r="D10304" s="4"/>
      <c r="E10304" s="4"/>
      <c r="F10304" s="4"/>
    </row>
    <row r="10305" spans="1:6" x14ac:dyDescent="0.4">
      <c r="A10305" s="4"/>
      <c r="B10305" s="4"/>
      <c r="D10305" s="4"/>
      <c r="E10305" s="4"/>
      <c r="F10305" s="4"/>
    </row>
    <row r="10306" spans="1:6" x14ac:dyDescent="0.4">
      <c r="A10306" s="4"/>
      <c r="B10306" s="4"/>
      <c r="D10306" s="4"/>
      <c r="E10306" s="4"/>
      <c r="F10306" s="4"/>
    </row>
    <row r="10307" spans="1:6" x14ac:dyDescent="0.4">
      <c r="A10307" s="4"/>
      <c r="B10307" s="4"/>
      <c r="D10307" s="4"/>
      <c r="E10307" s="4"/>
      <c r="F10307" s="4"/>
    </row>
    <row r="10308" spans="1:6" x14ac:dyDescent="0.4">
      <c r="A10308" s="4"/>
      <c r="B10308" s="4"/>
      <c r="D10308" s="4"/>
      <c r="E10308" s="4"/>
      <c r="F10308" s="4"/>
    </row>
    <row r="10309" spans="1:6" x14ac:dyDescent="0.4">
      <c r="A10309" s="4"/>
      <c r="B10309" s="4"/>
      <c r="D10309" s="4"/>
      <c r="E10309" s="4"/>
      <c r="F10309" s="4"/>
    </row>
    <row r="10310" spans="1:6" x14ac:dyDescent="0.4">
      <c r="A10310" s="4"/>
      <c r="B10310" s="4"/>
      <c r="D10310" s="4"/>
      <c r="E10310" s="4"/>
      <c r="F10310" s="4"/>
    </row>
    <row r="10311" spans="1:6" x14ac:dyDescent="0.4">
      <c r="A10311" s="4"/>
      <c r="B10311" s="4"/>
      <c r="D10311" s="4"/>
      <c r="E10311" s="4"/>
      <c r="F10311" s="4"/>
    </row>
    <row r="10312" spans="1:6" x14ac:dyDescent="0.4">
      <c r="A10312" s="4"/>
      <c r="B10312" s="4"/>
      <c r="D10312" s="4"/>
      <c r="E10312" s="4"/>
      <c r="F10312" s="4"/>
    </row>
    <row r="10313" spans="1:6" x14ac:dyDescent="0.4">
      <c r="A10313" s="4"/>
      <c r="B10313" s="4"/>
      <c r="D10313" s="4"/>
      <c r="E10313" s="4"/>
      <c r="F10313" s="4"/>
    </row>
    <row r="10314" spans="1:6" x14ac:dyDescent="0.4">
      <c r="A10314" s="4"/>
      <c r="B10314" s="4"/>
      <c r="D10314" s="4"/>
      <c r="E10314" s="4"/>
      <c r="F10314" s="4"/>
    </row>
    <row r="10315" spans="1:6" x14ac:dyDescent="0.4">
      <c r="A10315" s="4"/>
      <c r="B10315" s="4"/>
      <c r="D10315" s="4"/>
      <c r="E10315" s="4"/>
      <c r="F10315" s="4"/>
    </row>
    <row r="10316" spans="1:6" x14ac:dyDescent="0.4">
      <c r="A10316" s="4"/>
      <c r="B10316" s="4"/>
      <c r="D10316" s="4"/>
      <c r="E10316" s="4"/>
      <c r="F10316" s="4"/>
    </row>
    <row r="10317" spans="1:6" x14ac:dyDescent="0.4">
      <c r="A10317" s="4"/>
      <c r="B10317" s="4"/>
      <c r="D10317" s="4"/>
      <c r="E10317" s="4"/>
      <c r="F10317" s="4"/>
    </row>
    <row r="10318" spans="1:6" x14ac:dyDescent="0.4">
      <c r="A10318" s="4"/>
      <c r="B10318" s="4"/>
      <c r="D10318" s="4"/>
      <c r="E10318" s="4"/>
      <c r="F10318" s="4"/>
    </row>
    <row r="10319" spans="1:6" x14ac:dyDescent="0.4">
      <c r="A10319" s="4"/>
      <c r="B10319" s="4"/>
      <c r="D10319" s="4"/>
      <c r="E10319" s="4"/>
      <c r="F10319" s="4"/>
    </row>
    <row r="10320" spans="1:6" x14ac:dyDescent="0.4">
      <c r="A10320" s="4"/>
      <c r="B10320" s="4"/>
      <c r="D10320" s="4"/>
      <c r="E10320" s="4"/>
      <c r="F10320" s="4"/>
    </row>
    <row r="10321" spans="1:6" x14ac:dyDescent="0.4">
      <c r="A10321" s="4"/>
      <c r="B10321" s="4"/>
      <c r="D10321" s="4"/>
      <c r="E10321" s="4"/>
      <c r="F10321" s="4"/>
    </row>
    <row r="10322" spans="1:6" x14ac:dyDescent="0.4">
      <c r="A10322" s="4"/>
      <c r="B10322" s="4"/>
      <c r="D10322" s="4"/>
      <c r="E10322" s="4"/>
      <c r="F10322" s="4"/>
    </row>
    <row r="10323" spans="1:6" x14ac:dyDescent="0.4">
      <c r="A10323" s="4"/>
      <c r="B10323" s="4"/>
      <c r="D10323" s="4"/>
      <c r="E10323" s="4"/>
      <c r="F10323" s="4"/>
    </row>
    <row r="10324" spans="1:6" x14ac:dyDescent="0.4">
      <c r="A10324" s="4"/>
      <c r="B10324" s="4"/>
      <c r="D10324" s="4"/>
      <c r="E10324" s="4"/>
      <c r="F10324" s="4"/>
    </row>
    <row r="10325" spans="1:6" x14ac:dyDescent="0.4">
      <c r="A10325" s="4"/>
      <c r="B10325" s="4"/>
      <c r="D10325" s="4"/>
      <c r="E10325" s="4"/>
      <c r="F10325" s="4"/>
    </row>
    <row r="10326" spans="1:6" x14ac:dyDescent="0.4">
      <c r="A10326" s="4"/>
      <c r="B10326" s="4"/>
      <c r="D10326" s="4"/>
      <c r="E10326" s="4"/>
      <c r="F10326" s="4"/>
    </row>
    <row r="10327" spans="1:6" x14ac:dyDescent="0.4">
      <c r="A10327" s="4"/>
      <c r="B10327" s="4"/>
      <c r="D10327" s="4"/>
      <c r="E10327" s="4"/>
      <c r="F10327" s="4"/>
    </row>
    <row r="10328" spans="1:6" x14ac:dyDescent="0.4">
      <c r="A10328" s="4"/>
      <c r="B10328" s="4"/>
      <c r="D10328" s="4"/>
      <c r="E10328" s="4"/>
      <c r="F10328" s="4"/>
    </row>
    <row r="10329" spans="1:6" x14ac:dyDescent="0.4">
      <c r="A10329" s="4"/>
      <c r="B10329" s="4"/>
      <c r="D10329" s="4"/>
      <c r="E10329" s="4"/>
      <c r="F10329" s="4"/>
    </row>
    <row r="10330" spans="1:6" x14ac:dyDescent="0.4">
      <c r="A10330" s="4"/>
      <c r="B10330" s="4"/>
      <c r="D10330" s="4"/>
      <c r="E10330" s="4"/>
      <c r="F10330" s="4"/>
    </row>
    <row r="10331" spans="1:6" x14ac:dyDescent="0.4">
      <c r="A10331" s="4"/>
      <c r="B10331" s="4"/>
      <c r="D10331" s="4"/>
      <c r="E10331" s="4"/>
      <c r="F10331" s="4"/>
    </row>
    <row r="10332" spans="1:6" x14ac:dyDescent="0.4">
      <c r="A10332" s="4"/>
      <c r="B10332" s="4"/>
      <c r="D10332" s="4"/>
      <c r="E10332" s="4"/>
      <c r="F10332" s="4"/>
    </row>
    <row r="10333" spans="1:6" x14ac:dyDescent="0.4">
      <c r="A10333" s="4"/>
      <c r="B10333" s="4"/>
      <c r="D10333" s="4"/>
      <c r="E10333" s="4"/>
      <c r="F10333" s="4"/>
    </row>
    <row r="10334" spans="1:6" x14ac:dyDescent="0.4">
      <c r="A10334" s="4"/>
      <c r="B10334" s="4"/>
      <c r="D10334" s="4"/>
      <c r="E10334" s="4"/>
      <c r="F10334" s="4"/>
    </row>
    <row r="10335" spans="1:6" x14ac:dyDescent="0.4">
      <c r="A10335" s="4"/>
      <c r="B10335" s="4"/>
      <c r="D10335" s="4"/>
      <c r="E10335" s="4"/>
      <c r="F10335" s="4"/>
    </row>
    <row r="10336" spans="1:6" x14ac:dyDescent="0.4">
      <c r="A10336" s="4"/>
      <c r="B10336" s="4"/>
      <c r="D10336" s="4"/>
      <c r="E10336" s="4"/>
      <c r="F10336" s="4"/>
    </row>
    <row r="10337" spans="1:6" x14ac:dyDescent="0.4">
      <c r="A10337" s="4"/>
      <c r="B10337" s="4"/>
      <c r="D10337" s="4"/>
      <c r="E10337" s="4"/>
      <c r="F10337" s="4"/>
    </row>
    <row r="10338" spans="1:6" x14ac:dyDescent="0.4">
      <c r="A10338" s="4"/>
      <c r="B10338" s="4"/>
      <c r="D10338" s="4"/>
      <c r="E10338" s="4"/>
      <c r="F10338" s="4"/>
    </row>
    <row r="10339" spans="1:6" x14ac:dyDescent="0.4">
      <c r="A10339" s="4"/>
      <c r="B10339" s="4"/>
      <c r="D10339" s="4"/>
      <c r="E10339" s="4"/>
      <c r="F10339" s="4"/>
    </row>
    <row r="10340" spans="1:6" x14ac:dyDescent="0.4">
      <c r="A10340" s="4"/>
      <c r="B10340" s="4"/>
      <c r="D10340" s="4"/>
      <c r="E10340" s="4"/>
      <c r="F10340" s="4"/>
    </row>
    <row r="10341" spans="1:6" x14ac:dyDescent="0.4">
      <c r="A10341" s="4"/>
      <c r="B10341" s="4"/>
      <c r="D10341" s="4"/>
      <c r="E10341" s="4"/>
      <c r="F10341" s="4"/>
    </row>
    <row r="10342" spans="1:6" x14ac:dyDescent="0.4">
      <c r="A10342" s="4"/>
      <c r="B10342" s="4"/>
      <c r="D10342" s="4"/>
      <c r="E10342" s="4"/>
      <c r="F10342" s="4"/>
    </row>
    <row r="10343" spans="1:6" x14ac:dyDescent="0.4">
      <c r="A10343" s="4"/>
      <c r="B10343" s="4"/>
      <c r="D10343" s="4"/>
      <c r="E10343" s="4"/>
      <c r="F10343" s="4"/>
    </row>
    <row r="10344" spans="1:6" x14ac:dyDescent="0.4">
      <c r="A10344" s="4"/>
      <c r="B10344" s="4"/>
      <c r="D10344" s="4"/>
      <c r="E10344" s="4"/>
      <c r="F10344" s="4"/>
    </row>
    <row r="10345" spans="1:6" x14ac:dyDescent="0.4">
      <c r="A10345" s="4"/>
      <c r="B10345" s="4"/>
      <c r="D10345" s="4"/>
      <c r="E10345" s="4"/>
      <c r="F10345" s="4"/>
    </row>
    <row r="10346" spans="1:6" x14ac:dyDescent="0.4">
      <c r="A10346" s="4"/>
      <c r="B10346" s="4"/>
      <c r="D10346" s="4"/>
      <c r="E10346" s="4"/>
      <c r="F10346" s="4"/>
    </row>
    <row r="10347" spans="1:6" x14ac:dyDescent="0.4">
      <c r="A10347" s="4"/>
      <c r="B10347" s="4"/>
      <c r="D10347" s="4"/>
      <c r="E10347" s="4"/>
      <c r="F10347" s="4"/>
    </row>
    <row r="10348" spans="1:6" x14ac:dyDescent="0.4">
      <c r="A10348" s="4"/>
      <c r="B10348" s="4"/>
      <c r="D10348" s="4"/>
      <c r="E10348" s="4"/>
      <c r="F10348" s="4"/>
    </row>
    <row r="10349" spans="1:6" x14ac:dyDescent="0.4">
      <c r="A10349" s="4"/>
      <c r="B10349" s="4"/>
      <c r="D10349" s="4"/>
      <c r="E10349" s="4"/>
      <c r="F10349" s="4"/>
    </row>
    <row r="10350" spans="1:6" x14ac:dyDescent="0.4">
      <c r="A10350" s="4"/>
      <c r="B10350" s="4"/>
      <c r="D10350" s="4"/>
      <c r="E10350" s="4"/>
      <c r="F10350" s="4"/>
    </row>
    <row r="10351" spans="1:6" x14ac:dyDescent="0.4">
      <c r="A10351" s="4"/>
      <c r="B10351" s="4"/>
      <c r="D10351" s="4"/>
      <c r="E10351" s="4"/>
      <c r="F10351" s="4"/>
    </row>
    <row r="10352" spans="1:6" x14ac:dyDescent="0.4">
      <c r="A10352" s="4"/>
      <c r="B10352" s="4"/>
      <c r="D10352" s="4"/>
      <c r="E10352" s="4"/>
      <c r="F10352" s="4"/>
    </row>
    <row r="10353" spans="1:6" x14ac:dyDescent="0.4">
      <c r="A10353" s="4"/>
      <c r="B10353" s="4"/>
      <c r="D10353" s="4"/>
      <c r="E10353" s="4"/>
      <c r="F10353" s="4"/>
    </row>
    <row r="10354" spans="1:6" x14ac:dyDescent="0.4">
      <c r="A10354" s="4"/>
      <c r="B10354" s="4"/>
      <c r="D10354" s="4"/>
      <c r="E10354" s="4"/>
      <c r="F10354" s="4"/>
    </row>
    <row r="10355" spans="1:6" x14ac:dyDescent="0.4">
      <c r="A10355" s="4"/>
      <c r="B10355" s="4"/>
      <c r="D10355" s="4"/>
      <c r="E10355" s="4"/>
      <c r="F10355" s="4"/>
    </row>
    <row r="10356" spans="1:6" x14ac:dyDescent="0.4">
      <c r="A10356" s="4"/>
      <c r="B10356" s="4"/>
      <c r="D10356" s="4"/>
      <c r="E10356" s="4"/>
      <c r="F10356" s="4"/>
    </row>
    <row r="10357" spans="1:6" x14ac:dyDescent="0.4">
      <c r="A10357" s="4"/>
      <c r="B10357" s="4"/>
      <c r="D10357" s="4"/>
      <c r="E10357" s="4"/>
      <c r="F10357" s="4"/>
    </row>
    <row r="10358" spans="1:6" x14ac:dyDescent="0.4">
      <c r="A10358" s="4"/>
      <c r="B10358" s="4"/>
      <c r="D10358" s="4"/>
      <c r="E10358" s="4"/>
      <c r="F10358" s="4"/>
    </row>
    <row r="10359" spans="1:6" x14ac:dyDescent="0.4">
      <c r="A10359" s="4"/>
      <c r="B10359" s="4"/>
      <c r="D10359" s="4"/>
      <c r="E10359" s="4"/>
      <c r="F10359" s="4"/>
    </row>
    <row r="10360" spans="1:6" x14ac:dyDescent="0.4">
      <c r="A10360" s="4"/>
      <c r="B10360" s="4"/>
      <c r="D10360" s="4"/>
      <c r="E10360" s="4"/>
      <c r="F10360" s="4"/>
    </row>
    <row r="10361" spans="1:6" x14ac:dyDescent="0.4">
      <c r="A10361" s="4"/>
      <c r="B10361" s="4"/>
      <c r="D10361" s="4"/>
      <c r="E10361" s="4"/>
      <c r="F10361" s="4"/>
    </row>
    <row r="10362" spans="1:6" x14ac:dyDescent="0.4">
      <c r="A10362" s="4"/>
      <c r="B10362" s="4"/>
      <c r="D10362" s="4"/>
      <c r="E10362" s="4"/>
      <c r="F10362" s="4"/>
    </row>
    <row r="10363" spans="1:6" x14ac:dyDescent="0.4">
      <c r="A10363" s="4"/>
      <c r="B10363" s="4"/>
      <c r="D10363" s="4"/>
      <c r="E10363" s="4"/>
      <c r="F10363" s="4"/>
    </row>
    <row r="10364" spans="1:6" x14ac:dyDescent="0.4">
      <c r="A10364" s="4"/>
      <c r="B10364" s="4"/>
      <c r="D10364" s="4"/>
      <c r="E10364" s="4"/>
      <c r="F10364" s="4"/>
    </row>
    <row r="10365" spans="1:6" x14ac:dyDescent="0.4">
      <c r="A10365" s="4"/>
      <c r="B10365" s="4"/>
      <c r="D10365" s="4"/>
      <c r="E10365" s="4"/>
      <c r="F10365" s="4"/>
    </row>
    <row r="10366" spans="1:6" x14ac:dyDescent="0.4">
      <c r="A10366" s="4"/>
      <c r="B10366" s="4"/>
      <c r="D10366" s="4"/>
      <c r="E10366" s="4"/>
      <c r="F10366" s="4"/>
    </row>
    <row r="10367" spans="1:6" x14ac:dyDescent="0.4">
      <c r="A10367" s="4"/>
      <c r="B10367" s="4"/>
      <c r="D10367" s="4"/>
      <c r="E10367" s="4"/>
      <c r="F10367" s="4"/>
    </row>
    <row r="10368" spans="1:6" x14ac:dyDescent="0.4">
      <c r="A10368" s="4"/>
      <c r="B10368" s="4"/>
      <c r="D10368" s="4"/>
      <c r="E10368" s="4"/>
      <c r="F10368" s="4"/>
    </row>
    <row r="10369" spans="1:6" x14ac:dyDescent="0.4">
      <c r="A10369" s="4"/>
      <c r="B10369" s="4"/>
      <c r="D10369" s="4"/>
      <c r="E10369" s="4"/>
      <c r="F10369" s="4"/>
    </row>
    <row r="10370" spans="1:6" x14ac:dyDescent="0.4">
      <c r="A10370" s="4"/>
      <c r="B10370" s="4"/>
      <c r="D10370" s="4"/>
      <c r="E10370" s="4"/>
      <c r="F10370" s="4"/>
    </row>
    <row r="10371" spans="1:6" x14ac:dyDescent="0.4">
      <c r="A10371" s="4"/>
      <c r="B10371" s="4"/>
      <c r="D10371" s="4"/>
      <c r="E10371" s="4"/>
      <c r="F10371" s="4"/>
    </row>
    <row r="10372" spans="1:6" x14ac:dyDescent="0.4">
      <c r="A10372" s="4"/>
      <c r="B10372" s="4"/>
      <c r="D10372" s="4"/>
      <c r="E10372" s="4"/>
      <c r="F10372" s="4"/>
    </row>
    <row r="10373" spans="1:6" x14ac:dyDescent="0.4">
      <c r="A10373" s="4"/>
      <c r="B10373" s="4"/>
      <c r="D10373" s="4"/>
      <c r="E10373" s="4"/>
      <c r="F10373" s="4"/>
    </row>
    <row r="10374" spans="1:6" x14ac:dyDescent="0.4">
      <c r="A10374" s="4"/>
      <c r="B10374" s="4"/>
      <c r="D10374" s="4"/>
      <c r="E10374" s="4"/>
      <c r="F10374" s="4"/>
    </row>
    <row r="10375" spans="1:6" x14ac:dyDescent="0.4">
      <c r="A10375" s="4"/>
      <c r="B10375" s="4"/>
      <c r="D10375" s="4"/>
      <c r="E10375" s="4"/>
      <c r="F10375" s="4"/>
    </row>
    <row r="10376" spans="1:6" x14ac:dyDescent="0.4">
      <c r="A10376" s="4"/>
      <c r="B10376" s="4"/>
      <c r="D10376" s="4"/>
      <c r="E10376" s="4"/>
      <c r="F10376" s="4"/>
    </row>
    <row r="10377" spans="1:6" x14ac:dyDescent="0.4">
      <c r="A10377" s="4"/>
      <c r="B10377" s="4"/>
      <c r="D10377" s="4"/>
      <c r="E10377" s="4"/>
      <c r="F10377" s="4"/>
    </row>
    <row r="10378" spans="1:6" x14ac:dyDescent="0.4">
      <c r="A10378" s="4"/>
      <c r="B10378" s="4"/>
      <c r="D10378" s="4"/>
      <c r="E10378" s="4"/>
      <c r="F10378" s="4"/>
    </row>
    <row r="10379" spans="1:6" x14ac:dyDescent="0.4">
      <c r="A10379" s="4"/>
      <c r="B10379" s="4"/>
      <c r="D10379" s="4"/>
      <c r="E10379" s="4"/>
      <c r="F10379" s="4"/>
    </row>
    <row r="10380" spans="1:6" x14ac:dyDescent="0.4">
      <c r="A10380" s="4"/>
      <c r="B10380" s="4"/>
      <c r="D10380" s="4"/>
      <c r="E10380" s="4"/>
      <c r="F10380" s="4"/>
    </row>
    <row r="10381" spans="1:6" x14ac:dyDescent="0.4">
      <c r="A10381" s="4"/>
      <c r="B10381" s="4"/>
      <c r="D10381" s="4"/>
      <c r="E10381" s="4"/>
      <c r="F10381" s="4"/>
    </row>
    <row r="10382" spans="1:6" x14ac:dyDescent="0.4">
      <c r="A10382" s="4"/>
      <c r="B10382" s="4"/>
      <c r="D10382" s="4"/>
      <c r="E10382" s="4"/>
      <c r="F10382" s="4"/>
    </row>
    <row r="10383" spans="1:6" x14ac:dyDescent="0.4">
      <c r="A10383" s="4"/>
      <c r="B10383" s="4"/>
      <c r="D10383" s="4"/>
      <c r="E10383" s="4"/>
      <c r="F10383" s="4"/>
    </row>
    <row r="10384" spans="1:6" x14ac:dyDescent="0.4">
      <c r="A10384" s="4"/>
      <c r="B10384" s="4"/>
      <c r="D10384" s="4"/>
      <c r="E10384" s="4"/>
      <c r="F10384" s="4"/>
    </row>
    <row r="10385" spans="1:6" x14ac:dyDescent="0.4">
      <c r="A10385" s="4"/>
      <c r="B10385" s="4"/>
      <c r="D10385" s="4"/>
      <c r="E10385" s="4"/>
      <c r="F10385" s="4"/>
    </row>
    <row r="10386" spans="1:6" x14ac:dyDescent="0.4">
      <c r="A10386" s="4"/>
      <c r="B10386" s="4"/>
      <c r="D10386" s="4"/>
      <c r="E10386" s="4"/>
      <c r="F10386" s="4"/>
    </row>
    <row r="10387" spans="1:6" x14ac:dyDescent="0.4">
      <c r="A10387" s="4"/>
      <c r="B10387" s="4"/>
      <c r="D10387" s="4"/>
      <c r="E10387" s="4"/>
      <c r="F10387" s="4"/>
    </row>
    <row r="10388" spans="1:6" x14ac:dyDescent="0.4">
      <c r="A10388" s="4"/>
      <c r="B10388" s="4"/>
      <c r="D10388" s="4"/>
      <c r="E10388" s="4"/>
      <c r="F10388" s="4"/>
    </row>
    <row r="10389" spans="1:6" x14ac:dyDescent="0.4">
      <c r="A10389" s="4"/>
      <c r="B10389" s="4"/>
      <c r="D10389" s="4"/>
      <c r="E10389" s="4"/>
      <c r="F10389" s="4"/>
    </row>
    <row r="10390" spans="1:6" x14ac:dyDescent="0.4">
      <c r="A10390" s="4"/>
      <c r="B10390" s="4"/>
      <c r="D10390" s="4"/>
      <c r="E10390" s="4"/>
      <c r="F10390" s="4"/>
    </row>
    <row r="10391" spans="1:6" x14ac:dyDescent="0.4">
      <c r="A10391" s="4"/>
      <c r="B10391" s="4"/>
      <c r="D10391" s="4"/>
      <c r="E10391" s="4"/>
      <c r="F10391" s="4"/>
    </row>
    <row r="10392" spans="1:6" x14ac:dyDescent="0.4">
      <c r="A10392" s="4"/>
      <c r="B10392" s="4"/>
      <c r="D10392" s="4"/>
      <c r="E10392" s="4"/>
      <c r="F10392" s="4"/>
    </row>
    <row r="10393" spans="1:6" x14ac:dyDescent="0.4">
      <c r="A10393" s="4"/>
      <c r="B10393" s="4"/>
      <c r="D10393" s="4"/>
      <c r="E10393" s="4"/>
      <c r="F10393" s="4"/>
    </row>
    <row r="10394" spans="1:6" x14ac:dyDescent="0.4">
      <c r="A10394" s="4"/>
      <c r="B10394" s="4"/>
      <c r="D10394" s="4"/>
      <c r="E10394" s="4"/>
      <c r="F10394" s="4"/>
    </row>
    <row r="10395" spans="1:6" x14ac:dyDescent="0.4">
      <c r="A10395" s="4"/>
      <c r="B10395" s="4"/>
      <c r="D10395" s="4"/>
      <c r="E10395" s="4"/>
      <c r="F10395" s="4"/>
    </row>
    <row r="10396" spans="1:6" x14ac:dyDescent="0.4">
      <c r="A10396" s="4"/>
      <c r="B10396" s="4"/>
      <c r="D10396" s="4"/>
      <c r="E10396" s="4"/>
      <c r="F10396" s="4"/>
    </row>
    <row r="10397" spans="1:6" x14ac:dyDescent="0.4">
      <c r="A10397" s="4"/>
      <c r="B10397" s="4"/>
      <c r="D10397" s="4"/>
      <c r="E10397" s="4"/>
      <c r="F10397" s="4"/>
    </row>
    <row r="10398" spans="1:6" x14ac:dyDescent="0.4">
      <c r="A10398" s="4"/>
      <c r="B10398" s="4"/>
      <c r="D10398" s="4"/>
      <c r="E10398" s="4"/>
      <c r="F10398" s="4"/>
    </row>
    <row r="10399" spans="1:6" x14ac:dyDescent="0.4">
      <c r="A10399" s="4"/>
      <c r="B10399" s="4"/>
      <c r="D10399" s="4"/>
      <c r="E10399" s="4"/>
      <c r="F10399" s="4"/>
    </row>
    <row r="10400" spans="1:6" x14ac:dyDescent="0.4">
      <c r="A10400" s="4"/>
      <c r="B10400" s="4"/>
      <c r="D10400" s="4"/>
      <c r="E10400" s="4"/>
      <c r="F10400" s="4"/>
    </row>
    <row r="10401" spans="1:6" x14ac:dyDescent="0.4">
      <c r="A10401" s="4"/>
      <c r="B10401" s="4"/>
      <c r="D10401" s="4"/>
      <c r="E10401" s="4"/>
      <c r="F10401" s="4"/>
    </row>
    <row r="10402" spans="1:6" x14ac:dyDescent="0.4">
      <c r="A10402" s="4"/>
      <c r="B10402" s="4"/>
      <c r="D10402" s="4"/>
      <c r="E10402" s="4"/>
      <c r="F10402" s="4"/>
    </row>
    <row r="10403" spans="1:6" x14ac:dyDescent="0.4">
      <c r="A10403" s="4"/>
      <c r="B10403" s="4"/>
      <c r="D10403" s="4"/>
      <c r="E10403" s="4"/>
      <c r="F10403" s="4"/>
    </row>
    <row r="10404" spans="1:6" x14ac:dyDescent="0.4">
      <c r="A10404" s="4"/>
      <c r="B10404" s="4"/>
      <c r="D10404" s="4"/>
      <c r="E10404" s="4"/>
      <c r="F10404" s="4"/>
    </row>
    <row r="10405" spans="1:6" x14ac:dyDescent="0.4">
      <c r="A10405" s="4"/>
      <c r="B10405" s="4"/>
      <c r="D10405" s="4"/>
      <c r="E10405" s="4"/>
      <c r="F10405" s="4"/>
    </row>
    <row r="10406" spans="1:6" x14ac:dyDescent="0.4">
      <c r="A10406" s="4"/>
      <c r="B10406" s="4"/>
      <c r="D10406" s="4"/>
      <c r="E10406" s="4"/>
      <c r="F10406" s="4"/>
    </row>
    <row r="10407" spans="1:6" x14ac:dyDescent="0.4">
      <c r="A10407" s="4"/>
      <c r="B10407" s="4"/>
      <c r="D10407" s="4"/>
      <c r="E10407" s="4"/>
      <c r="F10407" s="4"/>
    </row>
    <row r="10408" spans="1:6" x14ac:dyDescent="0.4">
      <c r="A10408" s="4"/>
      <c r="B10408" s="4"/>
      <c r="D10408" s="4"/>
      <c r="E10408" s="4"/>
      <c r="F10408" s="4"/>
    </row>
    <row r="10409" spans="1:6" x14ac:dyDescent="0.4">
      <c r="A10409" s="4"/>
      <c r="B10409" s="4"/>
      <c r="D10409" s="4"/>
      <c r="E10409" s="4"/>
      <c r="F10409" s="4"/>
    </row>
    <row r="10410" spans="1:6" x14ac:dyDescent="0.4">
      <c r="A10410" s="4"/>
      <c r="B10410" s="4"/>
      <c r="D10410" s="4"/>
      <c r="E10410" s="4"/>
      <c r="F10410" s="4"/>
    </row>
    <row r="10411" spans="1:6" x14ac:dyDescent="0.4">
      <c r="A10411" s="4"/>
      <c r="B10411" s="4"/>
      <c r="D10411" s="4"/>
      <c r="E10411" s="4"/>
      <c r="F10411" s="4"/>
    </row>
    <row r="10412" spans="1:6" x14ac:dyDescent="0.4">
      <c r="A10412" s="4"/>
      <c r="B10412" s="4"/>
      <c r="D10412" s="4"/>
      <c r="E10412" s="4"/>
      <c r="F10412" s="4"/>
    </row>
    <row r="10413" spans="1:6" x14ac:dyDescent="0.4">
      <c r="A10413" s="4"/>
      <c r="B10413" s="4"/>
      <c r="D10413" s="4"/>
      <c r="E10413" s="4"/>
      <c r="F10413" s="4"/>
    </row>
    <row r="10414" spans="1:6" x14ac:dyDescent="0.4">
      <c r="A10414" s="4"/>
      <c r="B10414" s="4"/>
      <c r="D10414" s="4"/>
      <c r="E10414" s="4"/>
      <c r="F10414" s="4"/>
    </row>
    <row r="10415" spans="1:6" x14ac:dyDescent="0.4">
      <c r="A10415" s="4"/>
      <c r="B10415" s="4"/>
      <c r="D10415" s="4"/>
      <c r="E10415" s="4"/>
      <c r="F10415" s="4"/>
    </row>
    <row r="10416" spans="1:6" x14ac:dyDescent="0.4">
      <c r="A10416" s="4"/>
      <c r="B10416" s="4"/>
      <c r="D10416" s="4"/>
      <c r="E10416" s="4"/>
      <c r="F10416" s="4"/>
    </row>
    <row r="10417" spans="1:6" x14ac:dyDescent="0.4">
      <c r="A10417" s="4"/>
      <c r="B10417" s="4"/>
      <c r="D10417" s="4"/>
      <c r="E10417" s="4"/>
      <c r="F10417" s="4"/>
    </row>
    <row r="10418" spans="1:6" x14ac:dyDescent="0.4">
      <c r="A10418" s="4"/>
      <c r="B10418" s="4"/>
      <c r="D10418" s="4"/>
      <c r="E10418" s="4"/>
      <c r="F10418" s="4"/>
    </row>
    <row r="10419" spans="1:6" x14ac:dyDescent="0.4">
      <c r="A10419" s="4"/>
      <c r="B10419" s="4"/>
      <c r="D10419" s="4"/>
      <c r="E10419" s="4"/>
      <c r="F10419" s="4"/>
    </row>
    <row r="10420" spans="1:6" x14ac:dyDescent="0.4">
      <c r="A10420" s="4"/>
      <c r="B10420" s="4"/>
      <c r="D10420" s="4"/>
      <c r="E10420" s="4"/>
      <c r="F10420" s="4"/>
    </row>
    <row r="10421" spans="1:6" x14ac:dyDescent="0.4">
      <c r="A10421" s="4"/>
      <c r="B10421" s="4"/>
      <c r="D10421" s="4"/>
      <c r="E10421" s="4"/>
      <c r="F10421" s="4"/>
    </row>
    <row r="10422" spans="1:6" x14ac:dyDescent="0.4">
      <c r="A10422" s="4"/>
      <c r="B10422" s="4"/>
      <c r="D10422" s="4"/>
      <c r="E10422" s="4"/>
      <c r="F10422" s="4"/>
    </row>
    <row r="10423" spans="1:6" x14ac:dyDescent="0.4">
      <c r="A10423" s="4"/>
      <c r="B10423" s="4"/>
      <c r="D10423" s="4"/>
      <c r="E10423" s="4"/>
      <c r="F10423" s="4"/>
    </row>
    <row r="10424" spans="1:6" x14ac:dyDescent="0.4">
      <c r="A10424" s="4"/>
      <c r="B10424" s="4"/>
      <c r="D10424" s="4"/>
      <c r="E10424" s="4"/>
      <c r="F10424" s="4"/>
    </row>
    <row r="10425" spans="1:6" x14ac:dyDescent="0.4">
      <c r="A10425" s="4"/>
      <c r="B10425" s="4"/>
      <c r="D10425" s="4"/>
      <c r="E10425" s="4"/>
      <c r="F10425" s="4"/>
    </row>
    <row r="10426" spans="1:6" x14ac:dyDescent="0.4">
      <c r="A10426" s="4"/>
      <c r="B10426" s="4"/>
      <c r="D10426" s="4"/>
      <c r="E10426" s="4"/>
      <c r="F10426" s="4"/>
    </row>
    <row r="10427" spans="1:6" x14ac:dyDescent="0.4">
      <c r="A10427" s="4"/>
      <c r="B10427" s="4"/>
      <c r="D10427" s="4"/>
      <c r="E10427" s="4"/>
      <c r="F10427" s="4"/>
    </row>
    <row r="10428" spans="1:6" x14ac:dyDescent="0.4">
      <c r="A10428" s="4"/>
      <c r="B10428" s="4"/>
      <c r="D10428" s="4"/>
      <c r="E10428" s="4"/>
      <c r="F10428" s="4"/>
    </row>
    <row r="10429" spans="1:6" x14ac:dyDescent="0.4">
      <c r="A10429" s="4"/>
      <c r="B10429" s="4"/>
      <c r="D10429" s="4"/>
      <c r="E10429" s="4"/>
      <c r="F10429" s="4"/>
    </row>
    <row r="10430" spans="1:6" x14ac:dyDescent="0.4">
      <c r="A10430" s="4"/>
      <c r="B10430" s="4"/>
      <c r="D10430" s="4"/>
      <c r="E10430" s="4"/>
      <c r="F10430" s="4"/>
    </row>
    <row r="10431" spans="1:6" x14ac:dyDescent="0.4">
      <c r="A10431" s="4"/>
      <c r="B10431" s="4"/>
      <c r="D10431" s="4"/>
      <c r="E10431" s="4"/>
      <c r="F10431" s="4"/>
    </row>
    <row r="10432" spans="1:6" x14ac:dyDescent="0.4">
      <c r="A10432" s="4"/>
      <c r="B10432" s="4"/>
      <c r="D10432" s="4"/>
      <c r="E10432" s="4"/>
      <c r="F10432" s="4"/>
    </row>
    <row r="10433" spans="1:6" x14ac:dyDescent="0.4">
      <c r="A10433" s="4"/>
      <c r="B10433" s="4"/>
      <c r="D10433" s="4"/>
      <c r="E10433" s="4"/>
      <c r="F10433" s="4"/>
    </row>
    <row r="10434" spans="1:6" x14ac:dyDescent="0.4">
      <c r="A10434" s="4"/>
      <c r="B10434" s="4"/>
      <c r="D10434" s="4"/>
      <c r="E10434" s="4"/>
      <c r="F10434" s="4"/>
    </row>
    <row r="10435" spans="1:6" x14ac:dyDescent="0.4">
      <c r="A10435" s="4"/>
      <c r="B10435" s="4"/>
      <c r="D10435" s="4"/>
      <c r="E10435" s="4"/>
      <c r="F10435" s="4"/>
    </row>
    <row r="10436" spans="1:6" x14ac:dyDescent="0.4">
      <c r="A10436" s="4"/>
      <c r="B10436" s="4"/>
      <c r="D10436" s="4"/>
      <c r="E10436" s="4"/>
      <c r="F10436" s="4"/>
    </row>
    <row r="10437" spans="1:6" x14ac:dyDescent="0.4">
      <c r="A10437" s="4"/>
      <c r="B10437" s="4"/>
      <c r="D10437" s="4"/>
      <c r="E10437" s="4"/>
      <c r="F10437" s="4"/>
    </row>
    <row r="10438" spans="1:6" x14ac:dyDescent="0.4">
      <c r="A10438" s="4"/>
      <c r="B10438" s="4"/>
      <c r="D10438" s="4"/>
      <c r="E10438" s="4"/>
      <c r="F10438" s="4"/>
    </row>
    <row r="10439" spans="1:6" x14ac:dyDescent="0.4">
      <c r="A10439" s="4"/>
      <c r="B10439" s="4"/>
      <c r="D10439" s="4"/>
      <c r="E10439" s="4"/>
      <c r="F10439" s="4"/>
    </row>
    <row r="10440" spans="1:6" x14ac:dyDescent="0.4">
      <c r="A10440" s="4"/>
      <c r="B10440" s="4"/>
      <c r="D10440" s="4"/>
      <c r="E10440" s="4"/>
      <c r="F10440" s="4"/>
    </row>
    <row r="10441" spans="1:6" x14ac:dyDescent="0.4">
      <c r="A10441" s="4"/>
      <c r="B10441" s="4"/>
      <c r="D10441" s="4"/>
      <c r="E10441" s="4"/>
      <c r="F10441" s="4"/>
    </row>
    <row r="10442" spans="1:6" x14ac:dyDescent="0.4">
      <c r="A10442" s="4"/>
      <c r="B10442" s="4"/>
      <c r="D10442" s="4"/>
      <c r="E10442" s="4"/>
      <c r="F10442" s="4"/>
    </row>
    <row r="10443" spans="1:6" x14ac:dyDescent="0.4">
      <c r="A10443" s="4"/>
      <c r="B10443" s="4"/>
      <c r="D10443" s="4"/>
      <c r="E10443" s="4"/>
      <c r="F10443" s="4"/>
    </row>
    <row r="10444" spans="1:6" x14ac:dyDescent="0.4">
      <c r="A10444" s="4"/>
      <c r="B10444" s="4"/>
      <c r="D10444" s="4"/>
      <c r="E10444" s="4"/>
      <c r="F10444" s="4"/>
    </row>
    <row r="10445" spans="1:6" x14ac:dyDescent="0.4">
      <c r="A10445" s="4"/>
      <c r="B10445" s="4"/>
      <c r="D10445" s="4"/>
      <c r="E10445" s="4"/>
      <c r="F10445" s="4"/>
    </row>
    <row r="10446" spans="1:6" x14ac:dyDescent="0.4">
      <c r="A10446" s="4"/>
      <c r="B10446" s="4"/>
      <c r="D10446" s="4"/>
      <c r="E10446" s="4"/>
      <c r="F10446" s="4"/>
    </row>
    <row r="10447" spans="1:6" x14ac:dyDescent="0.4">
      <c r="A10447" s="4"/>
      <c r="B10447" s="4"/>
      <c r="D10447" s="4"/>
      <c r="E10447" s="4"/>
      <c r="F10447" s="4"/>
    </row>
    <row r="10448" spans="1:6" x14ac:dyDescent="0.4">
      <c r="A10448" s="4"/>
      <c r="B10448" s="4"/>
      <c r="D10448" s="4"/>
      <c r="E10448" s="4"/>
      <c r="F10448" s="4"/>
    </row>
    <row r="10449" spans="1:6" x14ac:dyDescent="0.4">
      <c r="A10449" s="4"/>
      <c r="B10449" s="4"/>
      <c r="D10449" s="4"/>
      <c r="E10449" s="4"/>
      <c r="F10449" s="4"/>
    </row>
    <row r="10450" spans="1:6" x14ac:dyDescent="0.4">
      <c r="A10450" s="4"/>
      <c r="B10450" s="4"/>
      <c r="D10450" s="4"/>
      <c r="E10450" s="4"/>
      <c r="F10450" s="4"/>
    </row>
    <row r="10451" spans="1:6" x14ac:dyDescent="0.4">
      <c r="A10451" s="4"/>
      <c r="B10451" s="4"/>
      <c r="D10451" s="4"/>
      <c r="E10451" s="4"/>
      <c r="F10451" s="4"/>
    </row>
    <row r="10452" spans="1:6" x14ac:dyDescent="0.4">
      <c r="A10452" s="4"/>
      <c r="B10452" s="4"/>
      <c r="D10452" s="4"/>
      <c r="E10452" s="4"/>
      <c r="F10452" s="4"/>
    </row>
    <row r="10453" spans="1:6" x14ac:dyDescent="0.4">
      <c r="A10453" s="4"/>
      <c r="B10453" s="4"/>
      <c r="D10453" s="4"/>
      <c r="E10453" s="4"/>
      <c r="F10453" s="4"/>
    </row>
    <row r="10454" spans="1:6" x14ac:dyDescent="0.4">
      <c r="A10454" s="4"/>
      <c r="B10454" s="4"/>
      <c r="D10454" s="4"/>
      <c r="E10454" s="4"/>
      <c r="F10454" s="4"/>
    </row>
    <row r="10455" spans="1:6" x14ac:dyDescent="0.4">
      <c r="A10455" s="4"/>
      <c r="B10455" s="4"/>
      <c r="D10455" s="4"/>
      <c r="E10455" s="4"/>
      <c r="F10455" s="4"/>
    </row>
    <row r="10456" spans="1:6" x14ac:dyDescent="0.4">
      <c r="A10456" s="4"/>
      <c r="B10456" s="4"/>
      <c r="D10456" s="4"/>
      <c r="E10456" s="4"/>
      <c r="F10456" s="4"/>
    </row>
    <row r="10457" spans="1:6" x14ac:dyDescent="0.4">
      <c r="A10457" s="4"/>
      <c r="B10457" s="4"/>
      <c r="D10457" s="4"/>
      <c r="E10457" s="4"/>
      <c r="F10457" s="4"/>
    </row>
    <row r="10458" spans="1:6" x14ac:dyDescent="0.4">
      <c r="A10458" s="4"/>
      <c r="B10458" s="4"/>
      <c r="D10458" s="4"/>
      <c r="E10458" s="4"/>
      <c r="F10458" s="4"/>
    </row>
    <row r="10459" spans="1:6" x14ac:dyDescent="0.4">
      <c r="A10459" s="4"/>
      <c r="B10459" s="4"/>
      <c r="D10459" s="4"/>
      <c r="E10459" s="4"/>
      <c r="F10459" s="4"/>
    </row>
    <row r="10460" spans="1:6" x14ac:dyDescent="0.4">
      <c r="A10460" s="4"/>
      <c r="B10460" s="4"/>
      <c r="D10460" s="4"/>
      <c r="E10460" s="4"/>
      <c r="F10460" s="4"/>
    </row>
    <row r="10461" spans="1:6" x14ac:dyDescent="0.4">
      <c r="A10461" s="4"/>
      <c r="B10461" s="4"/>
      <c r="D10461" s="4"/>
      <c r="E10461" s="4"/>
      <c r="F10461" s="4"/>
    </row>
    <row r="10462" spans="1:6" x14ac:dyDescent="0.4">
      <c r="A10462" s="4"/>
      <c r="B10462" s="4"/>
      <c r="D10462" s="4"/>
      <c r="E10462" s="4"/>
      <c r="F10462" s="4"/>
    </row>
    <row r="10463" spans="1:6" x14ac:dyDescent="0.4">
      <c r="A10463" s="4"/>
      <c r="B10463" s="4"/>
      <c r="D10463" s="4"/>
      <c r="E10463" s="4"/>
      <c r="F10463" s="4"/>
    </row>
    <row r="10464" spans="1:6" x14ac:dyDescent="0.4">
      <c r="A10464" s="4"/>
      <c r="B10464" s="4"/>
      <c r="D10464" s="4"/>
      <c r="E10464" s="4"/>
      <c r="F10464" s="4"/>
    </row>
    <row r="10465" spans="1:6" x14ac:dyDescent="0.4">
      <c r="A10465" s="4"/>
      <c r="B10465" s="4"/>
      <c r="D10465" s="4"/>
      <c r="E10465" s="4"/>
      <c r="F10465" s="4"/>
    </row>
    <row r="10466" spans="1:6" x14ac:dyDescent="0.4">
      <c r="A10466" s="4"/>
      <c r="B10466" s="4"/>
      <c r="D10466" s="4"/>
      <c r="E10466" s="4"/>
      <c r="F10466" s="4"/>
    </row>
    <row r="10467" spans="1:6" x14ac:dyDescent="0.4">
      <c r="A10467" s="4"/>
      <c r="B10467" s="4"/>
      <c r="D10467" s="4"/>
      <c r="E10467" s="4"/>
      <c r="F10467" s="4"/>
    </row>
    <row r="10468" spans="1:6" x14ac:dyDescent="0.4">
      <c r="A10468" s="4"/>
      <c r="B10468" s="4"/>
      <c r="D10468" s="4"/>
      <c r="E10468" s="4"/>
      <c r="F10468" s="4"/>
    </row>
    <row r="10469" spans="1:6" x14ac:dyDescent="0.4">
      <c r="A10469" s="4"/>
      <c r="B10469" s="4"/>
      <c r="D10469" s="4"/>
      <c r="E10469" s="4"/>
      <c r="F10469" s="4"/>
    </row>
    <row r="10470" spans="1:6" x14ac:dyDescent="0.4">
      <c r="A10470" s="4"/>
      <c r="B10470" s="4"/>
      <c r="D10470" s="4"/>
      <c r="E10470" s="4"/>
      <c r="F10470" s="4"/>
    </row>
    <row r="10471" spans="1:6" x14ac:dyDescent="0.4">
      <c r="A10471" s="4"/>
      <c r="B10471" s="4"/>
      <c r="D10471" s="4"/>
      <c r="E10471" s="4"/>
      <c r="F10471" s="4"/>
    </row>
    <row r="10472" spans="1:6" x14ac:dyDescent="0.4">
      <c r="A10472" s="4"/>
      <c r="B10472" s="4"/>
      <c r="D10472" s="4"/>
      <c r="E10472" s="4"/>
      <c r="F10472" s="4"/>
    </row>
    <row r="10473" spans="1:6" x14ac:dyDescent="0.4">
      <c r="A10473" s="4"/>
      <c r="B10473" s="4"/>
      <c r="D10473" s="4"/>
      <c r="E10473" s="4"/>
      <c r="F10473" s="4"/>
    </row>
    <row r="10474" spans="1:6" x14ac:dyDescent="0.4">
      <c r="A10474" s="4"/>
      <c r="B10474" s="4"/>
      <c r="D10474" s="4"/>
      <c r="E10474" s="4"/>
      <c r="F10474" s="4"/>
    </row>
    <row r="10475" spans="1:6" x14ac:dyDescent="0.4">
      <c r="A10475" s="4"/>
      <c r="B10475" s="4"/>
      <c r="D10475" s="4"/>
      <c r="E10475" s="4"/>
      <c r="F10475" s="4"/>
    </row>
    <row r="10476" spans="1:6" x14ac:dyDescent="0.4">
      <c r="A10476" s="4"/>
      <c r="B10476" s="4"/>
      <c r="D10476" s="4"/>
      <c r="E10476" s="4"/>
      <c r="F10476" s="4"/>
    </row>
    <row r="10477" spans="1:6" x14ac:dyDescent="0.4">
      <c r="A10477" s="4"/>
      <c r="B10477" s="4"/>
      <c r="D10477" s="4"/>
      <c r="E10477" s="4"/>
      <c r="F10477" s="4"/>
    </row>
    <row r="10478" spans="1:6" x14ac:dyDescent="0.4">
      <c r="A10478" s="4"/>
      <c r="B10478" s="4"/>
      <c r="D10478" s="4"/>
      <c r="E10478" s="4"/>
      <c r="F10478" s="4"/>
    </row>
    <row r="10479" spans="1:6" x14ac:dyDescent="0.4">
      <c r="A10479" s="4"/>
      <c r="B10479" s="4"/>
      <c r="D10479" s="4"/>
      <c r="E10479" s="4"/>
      <c r="F10479" s="4"/>
    </row>
    <row r="10480" spans="1:6" x14ac:dyDescent="0.4">
      <c r="A10480" s="4"/>
      <c r="B10480" s="4"/>
      <c r="D10480" s="4"/>
      <c r="E10480" s="4"/>
      <c r="F10480" s="4"/>
    </row>
    <row r="10481" spans="1:6" x14ac:dyDescent="0.4">
      <c r="A10481" s="4"/>
      <c r="B10481" s="4"/>
      <c r="D10481" s="4"/>
      <c r="E10481" s="4"/>
      <c r="F10481" s="4"/>
    </row>
    <row r="10482" spans="1:6" x14ac:dyDescent="0.4">
      <c r="A10482" s="4"/>
      <c r="B10482" s="4"/>
      <c r="D10482" s="4"/>
      <c r="E10482" s="4"/>
      <c r="F10482" s="4"/>
    </row>
    <row r="10483" spans="1:6" x14ac:dyDescent="0.4">
      <c r="A10483" s="4"/>
      <c r="B10483" s="4"/>
      <c r="D10483" s="4"/>
      <c r="E10483" s="4"/>
      <c r="F10483" s="4"/>
    </row>
    <row r="10484" spans="1:6" x14ac:dyDescent="0.4">
      <c r="A10484" s="4"/>
      <c r="B10484" s="4"/>
      <c r="D10484" s="4"/>
      <c r="E10484" s="4"/>
      <c r="F10484" s="4"/>
    </row>
    <row r="10485" spans="1:6" x14ac:dyDescent="0.4">
      <c r="A10485" s="4"/>
      <c r="B10485" s="4"/>
      <c r="D10485" s="4"/>
      <c r="E10485" s="4"/>
      <c r="F10485" s="4"/>
    </row>
    <row r="10486" spans="1:6" x14ac:dyDescent="0.4">
      <c r="A10486" s="4"/>
      <c r="B10486" s="4"/>
      <c r="D10486" s="4"/>
      <c r="E10486" s="4"/>
      <c r="F10486" s="4"/>
    </row>
    <row r="10487" spans="1:6" x14ac:dyDescent="0.4">
      <c r="A10487" s="4"/>
      <c r="B10487" s="4"/>
      <c r="D10487" s="4"/>
      <c r="E10487" s="4"/>
      <c r="F10487" s="4"/>
    </row>
    <row r="10488" spans="1:6" x14ac:dyDescent="0.4">
      <c r="A10488" s="4"/>
      <c r="B10488" s="4"/>
      <c r="D10488" s="4"/>
      <c r="E10488" s="4"/>
      <c r="F10488" s="4"/>
    </row>
    <row r="10489" spans="1:6" x14ac:dyDescent="0.4">
      <c r="A10489" s="4"/>
      <c r="B10489" s="4"/>
      <c r="D10489" s="4"/>
      <c r="E10489" s="4"/>
      <c r="F10489" s="4"/>
    </row>
    <row r="10490" spans="1:6" x14ac:dyDescent="0.4">
      <c r="A10490" s="4"/>
      <c r="B10490" s="4"/>
      <c r="D10490" s="4"/>
      <c r="E10490" s="4"/>
      <c r="F10490" s="4"/>
    </row>
    <row r="10491" spans="1:6" x14ac:dyDescent="0.4">
      <c r="A10491" s="4"/>
      <c r="B10491" s="4"/>
      <c r="D10491" s="4"/>
      <c r="E10491" s="4"/>
      <c r="F10491" s="4"/>
    </row>
    <row r="10492" spans="1:6" x14ac:dyDescent="0.4">
      <c r="A10492" s="4"/>
      <c r="B10492" s="4"/>
      <c r="D10492" s="4"/>
      <c r="E10492" s="4"/>
      <c r="F10492" s="4"/>
    </row>
    <row r="10493" spans="1:6" x14ac:dyDescent="0.4">
      <c r="A10493" s="4"/>
      <c r="B10493" s="4"/>
      <c r="D10493" s="4"/>
      <c r="E10493" s="4"/>
      <c r="F10493" s="4"/>
    </row>
    <row r="10494" spans="1:6" x14ac:dyDescent="0.4">
      <c r="A10494" s="4"/>
      <c r="B10494" s="4"/>
      <c r="D10494" s="4"/>
      <c r="E10494" s="4"/>
      <c r="F10494" s="4"/>
    </row>
    <row r="10495" spans="1:6" x14ac:dyDescent="0.4">
      <c r="A10495" s="4"/>
      <c r="B10495" s="4"/>
      <c r="D10495" s="4"/>
      <c r="E10495" s="4"/>
      <c r="F10495" s="4"/>
    </row>
    <row r="10496" spans="1:6" x14ac:dyDescent="0.4">
      <c r="A10496" s="4"/>
      <c r="B10496" s="4"/>
      <c r="D10496" s="4"/>
      <c r="E10496" s="4"/>
      <c r="F10496" s="4"/>
    </row>
    <row r="10497" spans="1:6" x14ac:dyDescent="0.4">
      <c r="A10497" s="4"/>
      <c r="B10497" s="4"/>
      <c r="D10497" s="4"/>
      <c r="E10497" s="4"/>
      <c r="F10497" s="4"/>
    </row>
    <row r="10498" spans="1:6" x14ac:dyDescent="0.4">
      <c r="A10498" s="4"/>
      <c r="B10498" s="4"/>
      <c r="D10498" s="4"/>
      <c r="E10498" s="4"/>
      <c r="F10498" s="4"/>
    </row>
    <row r="10499" spans="1:6" x14ac:dyDescent="0.4">
      <c r="A10499" s="4"/>
      <c r="B10499" s="4"/>
      <c r="D10499" s="4"/>
      <c r="E10499" s="4"/>
      <c r="F10499" s="4"/>
    </row>
    <row r="10500" spans="1:6" x14ac:dyDescent="0.4">
      <c r="A10500" s="4"/>
      <c r="B10500" s="4"/>
      <c r="D10500" s="4"/>
      <c r="E10500" s="4"/>
      <c r="F10500" s="4"/>
    </row>
    <row r="10501" spans="1:6" x14ac:dyDescent="0.4">
      <c r="A10501" s="4"/>
      <c r="B10501" s="4"/>
      <c r="D10501" s="4"/>
      <c r="E10501" s="4"/>
      <c r="F10501" s="4"/>
    </row>
    <row r="10502" spans="1:6" x14ac:dyDescent="0.4">
      <c r="A10502" s="4"/>
      <c r="B10502" s="4"/>
      <c r="D10502" s="4"/>
      <c r="E10502" s="4"/>
      <c r="F10502" s="4"/>
    </row>
    <row r="10503" spans="1:6" x14ac:dyDescent="0.4">
      <c r="A10503" s="4"/>
      <c r="B10503" s="4"/>
      <c r="D10503" s="4"/>
      <c r="E10503" s="4"/>
      <c r="F10503" s="4"/>
    </row>
    <row r="10504" spans="1:6" x14ac:dyDescent="0.4">
      <c r="A10504" s="4"/>
      <c r="B10504" s="4"/>
      <c r="D10504" s="4"/>
      <c r="E10504" s="4"/>
      <c r="F10504" s="4"/>
    </row>
    <row r="10505" spans="1:6" x14ac:dyDescent="0.4">
      <c r="A10505" s="4"/>
      <c r="B10505" s="4"/>
      <c r="D10505" s="4"/>
      <c r="E10505" s="4"/>
      <c r="F10505" s="4"/>
    </row>
    <row r="10506" spans="1:6" x14ac:dyDescent="0.4">
      <c r="A10506" s="4"/>
      <c r="B10506" s="4"/>
      <c r="D10506" s="4"/>
      <c r="E10506" s="4"/>
      <c r="F10506" s="4"/>
    </row>
    <row r="10507" spans="1:6" x14ac:dyDescent="0.4">
      <c r="A10507" s="4"/>
      <c r="B10507" s="4"/>
      <c r="D10507" s="4"/>
      <c r="E10507" s="4"/>
      <c r="F10507" s="4"/>
    </row>
    <row r="10508" spans="1:6" x14ac:dyDescent="0.4">
      <c r="A10508" s="4"/>
      <c r="B10508" s="4"/>
      <c r="D10508" s="4"/>
      <c r="E10508" s="4"/>
      <c r="F10508" s="4"/>
    </row>
    <row r="10509" spans="1:6" x14ac:dyDescent="0.4">
      <c r="A10509" s="4"/>
      <c r="B10509" s="4"/>
      <c r="D10509" s="4"/>
      <c r="E10509" s="4"/>
      <c r="F10509" s="4"/>
    </row>
    <row r="10510" spans="1:6" x14ac:dyDescent="0.4">
      <c r="A10510" s="4"/>
      <c r="B10510" s="4"/>
      <c r="D10510" s="4"/>
      <c r="E10510" s="4"/>
      <c r="F10510" s="4"/>
    </row>
    <row r="10511" spans="1:6" x14ac:dyDescent="0.4">
      <c r="A10511" s="4"/>
      <c r="B10511" s="4"/>
      <c r="D10511" s="4"/>
      <c r="E10511" s="4"/>
      <c r="F10511" s="4"/>
    </row>
    <row r="10512" spans="1:6" x14ac:dyDescent="0.4">
      <c r="A10512" s="4"/>
      <c r="B10512" s="4"/>
      <c r="D10512" s="4"/>
      <c r="E10512" s="4"/>
      <c r="F10512" s="4"/>
    </row>
    <row r="10513" spans="1:6" x14ac:dyDescent="0.4">
      <c r="A10513" s="4"/>
      <c r="B10513" s="4"/>
      <c r="D10513" s="4"/>
      <c r="E10513" s="4"/>
      <c r="F10513" s="4"/>
    </row>
    <row r="10514" spans="1:6" x14ac:dyDescent="0.4">
      <c r="A10514" s="4"/>
      <c r="B10514" s="4"/>
      <c r="D10514" s="4"/>
      <c r="E10514" s="4"/>
      <c r="F10514" s="4"/>
    </row>
    <row r="10515" spans="1:6" x14ac:dyDescent="0.4">
      <c r="A10515" s="4"/>
      <c r="B10515" s="4"/>
      <c r="D10515" s="4"/>
      <c r="E10515" s="4"/>
      <c r="F10515" s="4"/>
    </row>
    <row r="10516" spans="1:6" x14ac:dyDescent="0.4">
      <c r="A10516" s="4"/>
      <c r="B10516" s="4"/>
      <c r="D10516" s="4"/>
      <c r="E10516" s="4"/>
      <c r="F10516" s="4"/>
    </row>
    <row r="10517" spans="1:6" x14ac:dyDescent="0.4">
      <c r="A10517" s="4"/>
      <c r="B10517" s="4"/>
      <c r="D10517" s="4"/>
      <c r="E10517" s="4"/>
      <c r="F10517" s="4"/>
    </row>
    <row r="10518" spans="1:6" x14ac:dyDescent="0.4">
      <c r="A10518" s="4"/>
      <c r="B10518" s="4"/>
      <c r="D10518" s="4"/>
      <c r="E10518" s="4"/>
      <c r="F10518" s="4"/>
    </row>
    <row r="10519" spans="1:6" x14ac:dyDescent="0.4">
      <c r="A10519" s="4"/>
      <c r="B10519" s="4"/>
      <c r="D10519" s="4"/>
      <c r="E10519" s="4"/>
      <c r="F10519" s="4"/>
    </row>
    <row r="10520" spans="1:6" x14ac:dyDescent="0.4">
      <c r="A10520" s="4"/>
      <c r="B10520" s="4"/>
      <c r="D10520" s="4"/>
      <c r="E10520" s="4"/>
      <c r="F10520" s="4"/>
    </row>
    <row r="10521" spans="1:6" x14ac:dyDescent="0.4">
      <c r="A10521" s="4"/>
      <c r="B10521" s="4"/>
      <c r="D10521" s="4"/>
      <c r="E10521" s="4"/>
      <c r="F10521" s="4"/>
    </row>
    <row r="10522" spans="1:6" x14ac:dyDescent="0.4">
      <c r="A10522" s="4"/>
      <c r="B10522" s="4"/>
      <c r="D10522" s="4"/>
      <c r="E10522" s="4"/>
      <c r="F10522" s="4"/>
    </row>
    <row r="10523" spans="1:6" x14ac:dyDescent="0.4">
      <c r="A10523" s="4"/>
      <c r="B10523" s="4"/>
      <c r="D10523" s="4"/>
      <c r="E10523" s="4"/>
      <c r="F10523" s="4"/>
    </row>
    <row r="10524" spans="1:6" x14ac:dyDescent="0.4">
      <c r="A10524" s="4"/>
      <c r="B10524" s="4"/>
      <c r="D10524" s="4"/>
      <c r="E10524" s="4"/>
      <c r="F10524" s="4"/>
    </row>
    <row r="10525" spans="1:6" x14ac:dyDescent="0.4">
      <c r="A10525" s="4"/>
      <c r="B10525" s="4"/>
      <c r="D10525" s="4"/>
      <c r="E10525" s="4"/>
      <c r="F10525" s="4"/>
    </row>
    <row r="10526" spans="1:6" x14ac:dyDescent="0.4">
      <c r="A10526" s="4"/>
      <c r="B10526" s="4"/>
      <c r="D10526" s="4"/>
      <c r="E10526" s="4"/>
      <c r="F10526" s="4"/>
    </row>
    <row r="10527" spans="1:6" x14ac:dyDescent="0.4">
      <c r="A10527" s="4"/>
      <c r="B10527" s="4"/>
      <c r="D10527" s="4"/>
      <c r="E10527" s="4"/>
      <c r="F10527" s="4"/>
    </row>
    <row r="10528" spans="1:6" x14ac:dyDescent="0.4">
      <c r="A10528" s="4"/>
      <c r="B10528" s="4"/>
      <c r="D10528" s="4"/>
      <c r="E10528" s="4"/>
      <c r="F10528" s="4"/>
    </row>
    <row r="10529" spans="1:6" x14ac:dyDescent="0.4">
      <c r="A10529" s="4"/>
      <c r="B10529" s="4"/>
      <c r="D10529" s="4"/>
      <c r="E10529" s="4"/>
      <c r="F10529" s="4"/>
    </row>
    <row r="10530" spans="1:6" x14ac:dyDescent="0.4">
      <c r="A10530" s="4"/>
      <c r="B10530" s="4"/>
      <c r="D10530" s="4"/>
      <c r="E10530" s="4"/>
      <c r="F10530" s="4"/>
    </row>
    <row r="10531" spans="1:6" x14ac:dyDescent="0.4">
      <c r="A10531" s="4"/>
      <c r="B10531" s="4"/>
      <c r="D10531" s="4"/>
      <c r="E10531" s="4"/>
      <c r="F10531" s="4"/>
    </row>
    <row r="10532" spans="1:6" x14ac:dyDescent="0.4">
      <c r="A10532" s="4"/>
      <c r="B10532" s="4"/>
      <c r="D10532" s="4"/>
      <c r="E10532" s="4"/>
      <c r="F10532" s="4"/>
    </row>
    <row r="10533" spans="1:6" x14ac:dyDescent="0.4">
      <c r="A10533" s="4"/>
      <c r="B10533" s="4"/>
      <c r="D10533" s="4"/>
      <c r="E10533" s="4"/>
      <c r="F10533" s="4"/>
    </row>
    <row r="10534" spans="1:6" x14ac:dyDescent="0.4">
      <c r="A10534" s="4"/>
      <c r="B10534" s="4"/>
      <c r="D10534" s="4"/>
      <c r="E10534" s="4"/>
      <c r="F10534" s="4"/>
    </row>
    <row r="10535" spans="1:6" x14ac:dyDescent="0.4">
      <c r="A10535" s="4"/>
      <c r="B10535" s="4"/>
      <c r="D10535" s="4"/>
      <c r="E10535" s="4"/>
      <c r="F10535" s="4"/>
    </row>
    <row r="10536" spans="1:6" x14ac:dyDescent="0.4">
      <c r="A10536" s="4"/>
      <c r="B10536" s="4"/>
      <c r="D10536" s="4"/>
      <c r="E10536" s="4"/>
      <c r="F10536" s="4"/>
    </row>
    <row r="10537" spans="1:6" x14ac:dyDescent="0.4">
      <c r="A10537" s="4"/>
      <c r="B10537" s="4"/>
      <c r="D10537" s="4"/>
      <c r="E10537" s="4"/>
      <c r="F10537" s="4"/>
    </row>
    <row r="10538" spans="1:6" x14ac:dyDescent="0.4">
      <c r="A10538" s="4"/>
      <c r="B10538" s="4"/>
      <c r="D10538" s="4"/>
      <c r="E10538" s="4"/>
      <c r="F10538" s="4"/>
    </row>
    <row r="10539" spans="1:6" x14ac:dyDescent="0.4">
      <c r="A10539" s="4"/>
      <c r="B10539" s="4"/>
      <c r="D10539" s="4"/>
      <c r="E10539" s="4"/>
      <c r="F10539" s="4"/>
    </row>
    <row r="10540" spans="1:6" x14ac:dyDescent="0.4">
      <c r="A10540" s="4"/>
      <c r="B10540" s="4"/>
      <c r="D10540" s="4"/>
      <c r="E10540" s="4"/>
      <c r="F10540" s="4"/>
    </row>
    <row r="10541" spans="1:6" x14ac:dyDescent="0.4">
      <c r="A10541" s="4"/>
      <c r="B10541" s="4"/>
      <c r="D10541" s="4"/>
      <c r="E10541" s="4"/>
      <c r="F10541" s="4"/>
    </row>
    <row r="10542" spans="1:6" x14ac:dyDescent="0.4">
      <c r="A10542" s="4"/>
      <c r="B10542" s="4"/>
      <c r="D10542" s="4"/>
      <c r="E10542" s="4"/>
      <c r="F10542" s="4"/>
    </row>
    <row r="10543" spans="1:6" x14ac:dyDescent="0.4">
      <c r="A10543" s="4"/>
      <c r="B10543" s="4"/>
      <c r="D10543" s="4"/>
      <c r="E10543" s="4"/>
      <c r="F10543" s="4"/>
    </row>
    <row r="10544" spans="1:6" x14ac:dyDescent="0.4">
      <c r="A10544" s="4"/>
      <c r="B10544" s="4"/>
      <c r="D10544" s="4"/>
      <c r="E10544" s="4"/>
      <c r="F10544" s="4"/>
    </row>
    <row r="10545" spans="1:6" x14ac:dyDescent="0.4">
      <c r="A10545" s="4"/>
      <c r="B10545" s="4"/>
      <c r="D10545" s="4"/>
      <c r="E10545" s="4"/>
      <c r="F10545" s="4"/>
    </row>
    <row r="10546" spans="1:6" x14ac:dyDescent="0.4">
      <c r="A10546" s="4"/>
      <c r="B10546" s="4"/>
      <c r="D10546" s="4"/>
      <c r="E10546" s="4"/>
      <c r="F10546" s="4"/>
    </row>
    <row r="10547" spans="1:6" x14ac:dyDescent="0.4">
      <c r="A10547" s="4"/>
      <c r="B10547" s="4"/>
      <c r="D10547" s="4"/>
      <c r="E10547" s="4"/>
      <c r="F10547" s="4"/>
    </row>
    <row r="10548" spans="1:6" x14ac:dyDescent="0.4">
      <c r="A10548" s="4"/>
      <c r="B10548" s="4"/>
      <c r="D10548" s="4"/>
      <c r="E10548" s="4"/>
      <c r="F10548" s="4"/>
    </row>
    <row r="10549" spans="1:6" x14ac:dyDescent="0.4">
      <c r="A10549" s="4"/>
      <c r="B10549" s="4"/>
      <c r="D10549" s="4"/>
      <c r="E10549" s="4"/>
      <c r="F10549" s="4"/>
    </row>
    <row r="10550" spans="1:6" x14ac:dyDescent="0.4">
      <c r="A10550" s="4"/>
      <c r="B10550" s="4"/>
      <c r="D10550" s="4"/>
      <c r="E10550" s="4"/>
      <c r="F10550" s="4"/>
    </row>
    <row r="10551" spans="1:6" x14ac:dyDescent="0.4">
      <c r="A10551" s="4"/>
      <c r="B10551" s="4"/>
      <c r="D10551" s="4"/>
      <c r="E10551" s="4"/>
      <c r="F10551" s="4"/>
    </row>
    <row r="10552" spans="1:6" x14ac:dyDescent="0.4">
      <c r="A10552" s="4"/>
      <c r="B10552" s="4"/>
      <c r="D10552" s="4"/>
      <c r="E10552" s="4"/>
      <c r="F10552" s="4"/>
    </row>
    <row r="10553" spans="1:6" x14ac:dyDescent="0.4">
      <c r="A10553" s="4"/>
      <c r="B10553" s="4"/>
      <c r="D10553" s="4"/>
      <c r="E10553" s="4"/>
      <c r="F10553" s="4"/>
    </row>
    <row r="10554" spans="1:6" x14ac:dyDescent="0.4">
      <c r="A10554" s="4"/>
      <c r="B10554" s="4"/>
      <c r="D10554" s="4"/>
      <c r="E10554" s="4"/>
      <c r="F10554" s="4"/>
    </row>
    <row r="10555" spans="1:6" x14ac:dyDescent="0.4">
      <c r="A10555" s="4"/>
      <c r="B10555" s="4"/>
      <c r="D10555" s="4"/>
      <c r="E10555" s="4"/>
      <c r="F10555" s="4"/>
    </row>
    <row r="10556" spans="1:6" x14ac:dyDescent="0.4">
      <c r="A10556" s="4"/>
      <c r="B10556" s="4"/>
      <c r="D10556" s="4"/>
      <c r="E10556" s="4"/>
      <c r="F10556" s="4"/>
    </row>
    <row r="10557" spans="1:6" x14ac:dyDescent="0.4">
      <c r="A10557" s="4"/>
      <c r="B10557" s="4"/>
      <c r="D10557" s="4"/>
      <c r="E10557" s="4"/>
      <c r="F10557" s="4"/>
    </row>
    <row r="10558" spans="1:6" x14ac:dyDescent="0.4">
      <c r="A10558" s="4"/>
      <c r="B10558" s="4"/>
      <c r="D10558" s="4"/>
      <c r="E10558" s="4"/>
      <c r="F10558" s="4"/>
    </row>
    <row r="10559" spans="1:6" x14ac:dyDescent="0.4">
      <c r="A10559" s="4"/>
      <c r="B10559" s="4"/>
      <c r="D10559" s="4"/>
      <c r="E10559" s="4"/>
      <c r="F10559" s="4"/>
    </row>
    <row r="10560" spans="1:6" x14ac:dyDescent="0.4">
      <c r="A10560" s="4"/>
      <c r="B10560" s="4"/>
      <c r="D10560" s="4"/>
      <c r="E10560" s="4"/>
      <c r="F10560" s="4"/>
    </row>
    <row r="10561" spans="1:6" x14ac:dyDescent="0.4">
      <c r="A10561" s="4"/>
      <c r="B10561" s="4"/>
      <c r="D10561" s="4"/>
      <c r="E10561" s="4"/>
      <c r="F10561" s="4"/>
    </row>
    <row r="10562" spans="1:6" x14ac:dyDescent="0.4">
      <c r="A10562" s="4"/>
      <c r="B10562" s="4"/>
      <c r="D10562" s="4"/>
      <c r="E10562" s="4"/>
      <c r="F10562" s="4"/>
    </row>
    <row r="10563" spans="1:6" x14ac:dyDescent="0.4">
      <c r="A10563" s="4"/>
      <c r="B10563" s="4"/>
      <c r="D10563" s="4"/>
      <c r="E10563" s="4"/>
      <c r="F10563" s="4"/>
    </row>
    <row r="10564" spans="1:6" x14ac:dyDescent="0.4">
      <c r="A10564" s="4"/>
      <c r="B10564" s="4"/>
      <c r="D10564" s="4"/>
      <c r="E10564" s="4"/>
      <c r="F10564" s="4"/>
    </row>
    <row r="10565" spans="1:6" x14ac:dyDescent="0.4">
      <c r="A10565" s="4"/>
      <c r="B10565" s="4"/>
      <c r="D10565" s="4"/>
      <c r="E10565" s="4"/>
      <c r="F10565" s="4"/>
    </row>
    <row r="10566" spans="1:6" x14ac:dyDescent="0.4">
      <c r="A10566" s="4"/>
      <c r="B10566" s="4"/>
      <c r="D10566" s="4"/>
      <c r="E10566" s="4"/>
      <c r="F10566" s="4"/>
    </row>
    <row r="10567" spans="1:6" x14ac:dyDescent="0.4">
      <c r="A10567" s="4"/>
      <c r="B10567" s="4"/>
      <c r="D10567" s="4"/>
      <c r="E10567" s="4"/>
      <c r="F10567" s="4"/>
    </row>
    <row r="10568" spans="1:6" x14ac:dyDescent="0.4">
      <c r="A10568" s="4"/>
      <c r="B10568" s="4"/>
      <c r="D10568" s="4"/>
      <c r="E10568" s="4"/>
      <c r="F10568" s="4"/>
    </row>
    <row r="10569" spans="1:6" x14ac:dyDescent="0.4">
      <c r="A10569" s="4"/>
      <c r="B10569" s="4"/>
      <c r="D10569" s="4"/>
      <c r="E10569" s="4"/>
      <c r="F10569" s="4"/>
    </row>
    <row r="10570" spans="1:6" x14ac:dyDescent="0.4">
      <c r="A10570" s="4"/>
      <c r="B10570" s="4"/>
      <c r="D10570" s="4"/>
      <c r="E10570" s="4"/>
      <c r="F10570" s="4"/>
    </row>
    <row r="10571" spans="1:6" x14ac:dyDescent="0.4">
      <c r="A10571" s="4"/>
      <c r="B10571" s="4"/>
      <c r="D10571" s="4"/>
      <c r="E10571" s="4"/>
      <c r="F10571" s="4"/>
    </row>
    <row r="10572" spans="1:6" x14ac:dyDescent="0.4">
      <c r="A10572" s="4"/>
      <c r="B10572" s="4"/>
      <c r="D10572" s="4"/>
      <c r="E10572" s="4"/>
      <c r="F10572" s="4"/>
    </row>
    <row r="10573" spans="1:6" x14ac:dyDescent="0.4">
      <c r="A10573" s="4"/>
      <c r="B10573" s="4"/>
      <c r="D10573" s="4"/>
      <c r="E10573" s="4"/>
      <c r="F10573" s="4"/>
    </row>
    <row r="10574" spans="1:6" x14ac:dyDescent="0.4">
      <c r="A10574" s="4"/>
      <c r="B10574" s="4"/>
      <c r="D10574" s="4"/>
      <c r="E10574" s="4"/>
      <c r="F10574" s="4"/>
    </row>
    <row r="10575" spans="1:6" x14ac:dyDescent="0.4">
      <c r="A10575" s="4"/>
      <c r="B10575" s="4"/>
      <c r="D10575" s="4"/>
      <c r="E10575" s="4"/>
      <c r="F10575" s="4"/>
    </row>
    <row r="10576" spans="1:6" x14ac:dyDescent="0.4">
      <c r="A10576" s="4"/>
      <c r="B10576" s="4"/>
      <c r="D10576" s="4"/>
      <c r="E10576" s="4"/>
      <c r="F10576" s="4"/>
    </row>
    <row r="10577" spans="1:6" x14ac:dyDescent="0.4">
      <c r="A10577" s="4"/>
      <c r="B10577" s="4"/>
      <c r="D10577" s="4"/>
      <c r="E10577" s="4"/>
      <c r="F10577" s="4"/>
    </row>
    <row r="10578" spans="1:6" x14ac:dyDescent="0.4">
      <c r="A10578" s="4"/>
      <c r="B10578" s="4"/>
      <c r="D10578" s="4"/>
      <c r="E10578" s="4"/>
      <c r="F10578" s="4"/>
    </row>
    <row r="10579" spans="1:6" x14ac:dyDescent="0.4">
      <c r="A10579" s="4"/>
      <c r="B10579" s="4"/>
      <c r="D10579" s="4"/>
      <c r="E10579" s="4"/>
      <c r="F10579" s="4"/>
    </row>
    <row r="10580" spans="1:6" x14ac:dyDescent="0.4">
      <c r="A10580" s="4"/>
      <c r="B10580" s="4"/>
      <c r="D10580" s="4"/>
      <c r="E10580" s="4"/>
      <c r="F10580" s="4"/>
    </row>
    <row r="10581" spans="1:6" x14ac:dyDescent="0.4">
      <c r="A10581" s="4"/>
      <c r="B10581" s="4"/>
      <c r="D10581" s="4"/>
      <c r="E10581" s="4"/>
      <c r="F10581" s="4"/>
    </row>
    <row r="10582" spans="1:6" x14ac:dyDescent="0.4">
      <c r="A10582" s="4"/>
      <c r="B10582" s="4"/>
      <c r="D10582" s="4"/>
      <c r="E10582" s="4"/>
      <c r="F10582" s="4"/>
    </row>
    <row r="10583" spans="1:6" x14ac:dyDescent="0.4">
      <c r="A10583" s="4"/>
      <c r="B10583" s="4"/>
      <c r="D10583" s="4"/>
      <c r="E10583" s="4"/>
      <c r="F10583" s="4"/>
    </row>
    <row r="10584" spans="1:6" x14ac:dyDescent="0.4">
      <c r="A10584" s="4"/>
      <c r="B10584" s="4"/>
      <c r="D10584" s="4"/>
      <c r="E10584" s="4"/>
      <c r="F10584" s="4"/>
    </row>
    <row r="10585" spans="1:6" x14ac:dyDescent="0.4">
      <c r="A10585" s="4"/>
      <c r="B10585" s="4"/>
      <c r="D10585" s="4"/>
      <c r="E10585" s="4"/>
      <c r="F10585" s="4"/>
    </row>
    <row r="10586" spans="1:6" x14ac:dyDescent="0.4">
      <c r="A10586" s="4"/>
      <c r="B10586" s="4"/>
      <c r="D10586" s="4"/>
      <c r="E10586" s="4"/>
      <c r="F10586" s="4"/>
    </row>
    <row r="10587" spans="1:6" x14ac:dyDescent="0.4">
      <c r="A10587" s="4"/>
      <c r="B10587" s="4"/>
      <c r="D10587" s="4"/>
      <c r="E10587" s="4"/>
      <c r="F10587" s="4"/>
    </row>
    <row r="10588" spans="1:6" x14ac:dyDescent="0.4">
      <c r="A10588" s="4"/>
      <c r="B10588" s="4"/>
      <c r="D10588" s="4"/>
      <c r="E10588" s="4"/>
      <c r="F10588" s="4"/>
    </row>
    <row r="10589" spans="1:6" x14ac:dyDescent="0.4">
      <c r="A10589" s="4"/>
      <c r="B10589" s="4"/>
      <c r="D10589" s="4"/>
      <c r="E10589" s="4"/>
      <c r="F10589" s="4"/>
    </row>
    <row r="10590" spans="1:6" x14ac:dyDescent="0.4">
      <c r="A10590" s="4"/>
      <c r="B10590" s="4"/>
      <c r="D10590" s="4"/>
      <c r="E10590" s="4"/>
      <c r="F10590" s="4"/>
    </row>
    <row r="10591" spans="1:6" x14ac:dyDescent="0.4">
      <c r="A10591" s="4"/>
      <c r="B10591" s="4"/>
      <c r="D10591" s="4"/>
      <c r="E10591" s="4"/>
      <c r="F10591" s="4"/>
    </row>
    <row r="10592" spans="1:6" x14ac:dyDescent="0.4">
      <c r="A10592" s="4"/>
      <c r="B10592" s="4"/>
      <c r="D10592" s="4"/>
      <c r="E10592" s="4"/>
      <c r="F10592" s="4"/>
    </row>
    <row r="10593" spans="1:6" x14ac:dyDescent="0.4">
      <c r="A10593" s="4"/>
      <c r="B10593" s="4"/>
      <c r="D10593" s="4"/>
      <c r="E10593" s="4"/>
      <c r="F10593" s="4"/>
    </row>
    <row r="10594" spans="1:6" x14ac:dyDescent="0.4">
      <c r="A10594" s="4"/>
      <c r="B10594" s="4"/>
      <c r="D10594" s="4"/>
      <c r="E10594" s="4"/>
      <c r="F10594" s="4"/>
    </row>
    <row r="10595" spans="1:6" x14ac:dyDescent="0.4">
      <c r="A10595" s="4"/>
      <c r="B10595" s="4"/>
      <c r="D10595" s="4"/>
      <c r="E10595" s="4"/>
      <c r="F10595" s="4"/>
    </row>
    <row r="10596" spans="1:6" x14ac:dyDescent="0.4">
      <c r="A10596" s="4"/>
      <c r="B10596" s="4"/>
      <c r="D10596" s="4"/>
      <c r="E10596" s="4"/>
      <c r="F10596" s="4"/>
    </row>
    <row r="10597" spans="1:6" x14ac:dyDescent="0.4">
      <c r="A10597" s="4"/>
      <c r="B10597" s="4"/>
      <c r="D10597" s="4"/>
      <c r="E10597" s="4"/>
      <c r="F10597" s="4"/>
    </row>
    <row r="10598" spans="1:6" x14ac:dyDescent="0.4">
      <c r="A10598" s="4"/>
      <c r="B10598" s="4"/>
      <c r="D10598" s="4"/>
      <c r="E10598" s="4"/>
      <c r="F10598" s="4"/>
    </row>
    <row r="10599" spans="1:6" x14ac:dyDescent="0.4">
      <c r="A10599" s="4"/>
      <c r="B10599" s="4"/>
      <c r="D10599" s="4"/>
      <c r="E10599" s="4"/>
      <c r="F10599" s="4"/>
    </row>
    <row r="10600" spans="1:6" x14ac:dyDescent="0.4">
      <c r="A10600" s="4"/>
      <c r="B10600" s="4"/>
      <c r="D10600" s="4"/>
      <c r="E10600" s="4"/>
      <c r="F10600" s="4"/>
    </row>
    <row r="10601" spans="1:6" x14ac:dyDescent="0.4">
      <c r="A10601" s="4"/>
      <c r="B10601" s="4"/>
      <c r="D10601" s="4"/>
      <c r="E10601" s="4"/>
      <c r="F10601" s="4"/>
    </row>
    <row r="10602" spans="1:6" x14ac:dyDescent="0.4">
      <c r="A10602" s="4"/>
      <c r="B10602" s="4"/>
      <c r="D10602" s="4"/>
      <c r="E10602" s="4"/>
      <c r="F10602" s="4"/>
    </row>
    <row r="10603" spans="1:6" x14ac:dyDescent="0.4">
      <c r="A10603" s="4"/>
      <c r="B10603" s="4"/>
      <c r="D10603" s="4"/>
      <c r="E10603" s="4"/>
      <c r="F10603" s="4"/>
    </row>
    <row r="10604" spans="1:6" x14ac:dyDescent="0.4">
      <c r="A10604" s="4"/>
      <c r="B10604" s="4"/>
      <c r="D10604" s="4"/>
      <c r="E10604" s="4"/>
      <c r="F10604" s="4"/>
    </row>
    <row r="10605" spans="1:6" x14ac:dyDescent="0.4">
      <c r="A10605" s="4"/>
      <c r="B10605" s="4"/>
      <c r="D10605" s="4"/>
      <c r="E10605" s="4"/>
      <c r="F10605" s="4"/>
    </row>
    <row r="10606" spans="1:6" x14ac:dyDescent="0.4">
      <c r="A10606" s="4"/>
      <c r="B10606" s="4"/>
      <c r="D10606" s="4"/>
      <c r="E10606" s="4"/>
      <c r="F10606" s="4"/>
    </row>
    <row r="10607" spans="1:6" x14ac:dyDescent="0.4">
      <c r="A10607" s="4"/>
      <c r="B10607" s="4"/>
      <c r="D10607" s="4"/>
      <c r="E10607" s="4"/>
      <c r="F10607" s="4"/>
    </row>
    <row r="10608" spans="1:6" x14ac:dyDescent="0.4">
      <c r="A10608" s="4"/>
      <c r="B10608" s="4"/>
      <c r="D10608" s="4"/>
      <c r="E10608" s="4"/>
      <c r="F10608" s="4"/>
    </row>
    <row r="10609" spans="1:6" x14ac:dyDescent="0.4">
      <c r="A10609" s="4"/>
      <c r="B10609" s="4"/>
      <c r="D10609" s="4"/>
      <c r="E10609" s="4"/>
      <c r="F10609" s="4"/>
    </row>
    <row r="10610" spans="1:6" x14ac:dyDescent="0.4">
      <c r="A10610" s="4"/>
      <c r="B10610" s="4"/>
      <c r="D10610" s="4"/>
      <c r="E10610" s="4"/>
      <c r="F10610" s="4"/>
    </row>
    <row r="10611" spans="1:6" x14ac:dyDescent="0.4">
      <c r="A10611" s="4"/>
      <c r="B10611" s="4"/>
      <c r="D10611" s="4"/>
      <c r="E10611" s="4"/>
      <c r="F10611" s="4"/>
    </row>
    <row r="10612" spans="1:6" x14ac:dyDescent="0.4">
      <c r="A10612" s="4"/>
      <c r="B10612" s="4"/>
      <c r="D10612" s="4"/>
      <c r="E10612" s="4"/>
      <c r="F10612" s="4"/>
    </row>
    <row r="10613" spans="1:6" x14ac:dyDescent="0.4">
      <c r="A10613" s="4"/>
      <c r="B10613" s="4"/>
      <c r="D10613" s="4"/>
      <c r="E10613" s="4"/>
      <c r="F10613" s="4"/>
    </row>
    <row r="10614" spans="1:6" x14ac:dyDescent="0.4">
      <c r="A10614" s="4"/>
      <c r="B10614" s="4"/>
      <c r="D10614" s="4"/>
      <c r="E10614" s="4"/>
      <c r="F10614" s="4"/>
    </row>
    <row r="10615" spans="1:6" x14ac:dyDescent="0.4">
      <c r="A10615" s="4"/>
      <c r="B10615" s="4"/>
      <c r="D10615" s="4"/>
      <c r="E10615" s="4"/>
      <c r="F10615" s="4"/>
    </row>
    <row r="10616" spans="1:6" x14ac:dyDescent="0.4">
      <c r="A10616" s="4"/>
      <c r="B10616" s="4"/>
      <c r="D10616" s="4"/>
      <c r="E10616" s="4"/>
      <c r="F10616" s="4"/>
    </row>
    <row r="10617" spans="1:6" x14ac:dyDescent="0.4">
      <c r="A10617" s="4"/>
      <c r="B10617" s="4"/>
      <c r="D10617" s="4"/>
      <c r="E10617" s="4"/>
      <c r="F10617" s="4"/>
    </row>
    <row r="10618" spans="1:6" x14ac:dyDescent="0.4">
      <c r="A10618" s="4"/>
      <c r="B10618" s="4"/>
      <c r="D10618" s="4"/>
      <c r="E10618" s="4"/>
      <c r="F10618" s="4"/>
    </row>
    <row r="10619" spans="1:6" x14ac:dyDescent="0.4">
      <c r="A10619" s="4"/>
      <c r="B10619" s="4"/>
      <c r="D10619" s="4"/>
      <c r="E10619" s="4"/>
      <c r="F10619" s="4"/>
    </row>
    <row r="10620" spans="1:6" x14ac:dyDescent="0.4">
      <c r="A10620" s="4"/>
      <c r="B10620" s="4"/>
      <c r="D10620" s="4"/>
      <c r="E10620" s="4"/>
      <c r="F10620" s="4"/>
    </row>
    <row r="10621" spans="1:6" x14ac:dyDescent="0.4">
      <c r="A10621" s="4"/>
      <c r="B10621" s="4"/>
      <c r="D10621" s="4"/>
      <c r="E10621" s="4"/>
      <c r="F10621" s="4"/>
    </row>
    <row r="10622" spans="1:6" x14ac:dyDescent="0.4">
      <c r="A10622" s="4"/>
      <c r="B10622" s="4"/>
      <c r="D10622" s="4"/>
      <c r="E10622" s="4"/>
      <c r="F10622" s="4"/>
    </row>
    <row r="10623" spans="1:6" x14ac:dyDescent="0.4">
      <c r="A10623" s="4"/>
      <c r="B10623" s="4"/>
      <c r="D10623" s="4"/>
      <c r="E10623" s="4"/>
      <c r="F10623" s="4"/>
    </row>
    <row r="10624" spans="1:6" x14ac:dyDescent="0.4">
      <c r="A10624" s="4"/>
      <c r="B10624" s="4"/>
      <c r="D10624" s="4"/>
      <c r="E10624" s="4"/>
      <c r="F10624" s="4"/>
    </row>
    <row r="10625" spans="1:6" x14ac:dyDescent="0.4">
      <c r="A10625" s="4"/>
      <c r="B10625" s="4"/>
      <c r="D10625" s="4"/>
      <c r="E10625" s="4"/>
      <c r="F10625" s="4"/>
    </row>
    <row r="10626" spans="1:6" x14ac:dyDescent="0.4">
      <c r="A10626" s="4"/>
      <c r="B10626" s="4"/>
      <c r="D10626" s="4"/>
      <c r="E10626" s="4"/>
      <c r="F10626" s="4"/>
    </row>
    <row r="10627" spans="1:6" x14ac:dyDescent="0.4">
      <c r="A10627" s="4"/>
      <c r="B10627" s="4"/>
      <c r="D10627" s="4"/>
      <c r="E10627" s="4"/>
      <c r="F10627" s="4"/>
    </row>
    <row r="10628" spans="1:6" x14ac:dyDescent="0.4">
      <c r="A10628" s="4"/>
      <c r="B10628" s="4"/>
      <c r="D10628" s="4"/>
      <c r="E10628" s="4"/>
      <c r="F10628" s="4"/>
    </row>
    <row r="10629" spans="1:6" x14ac:dyDescent="0.4">
      <c r="A10629" s="4"/>
      <c r="B10629" s="4"/>
      <c r="D10629" s="4"/>
      <c r="E10629" s="4"/>
      <c r="F10629" s="4"/>
    </row>
    <row r="10630" spans="1:6" x14ac:dyDescent="0.4">
      <c r="A10630" s="4"/>
      <c r="B10630" s="4"/>
      <c r="D10630" s="4"/>
      <c r="E10630" s="4"/>
      <c r="F10630" s="4"/>
    </row>
    <row r="10631" spans="1:6" x14ac:dyDescent="0.4">
      <c r="A10631" s="4"/>
      <c r="B10631" s="4"/>
      <c r="D10631" s="4"/>
      <c r="E10631" s="4"/>
      <c r="F10631" s="4"/>
    </row>
    <row r="10632" spans="1:6" x14ac:dyDescent="0.4">
      <c r="A10632" s="4"/>
      <c r="B10632" s="4"/>
      <c r="D10632" s="4"/>
      <c r="E10632" s="4"/>
      <c r="F10632" s="4"/>
    </row>
    <row r="10633" spans="1:6" x14ac:dyDescent="0.4">
      <c r="A10633" s="4"/>
      <c r="B10633" s="4"/>
      <c r="D10633" s="4"/>
      <c r="E10633" s="4"/>
      <c r="F10633" s="4"/>
    </row>
    <row r="10634" spans="1:6" x14ac:dyDescent="0.4">
      <c r="A10634" s="4"/>
      <c r="B10634" s="4"/>
      <c r="D10634" s="4"/>
      <c r="E10634" s="4"/>
      <c r="F10634" s="4"/>
    </row>
    <row r="10635" spans="1:6" x14ac:dyDescent="0.4">
      <c r="A10635" s="4"/>
      <c r="B10635" s="4"/>
      <c r="D10635" s="4"/>
      <c r="E10635" s="4"/>
      <c r="F10635" s="4"/>
    </row>
    <row r="10636" spans="1:6" x14ac:dyDescent="0.4">
      <c r="A10636" s="4"/>
      <c r="B10636" s="4"/>
      <c r="D10636" s="4"/>
      <c r="E10636" s="4"/>
      <c r="F10636" s="4"/>
    </row>
    <row r="10637" spans="1:6" x14ac:dyDescent="0.4">
      <c r="A10637" s="4"/>
      <c r="B10637" s="4"/>
      <c r="D10637" s="4"/>
      <c r="E10637" s="4"/>
      <c r="F10637" s="4"/>
    </row>
    <row r="10638" spans="1:6" x14ac:dyDescent="0.4">
      <c r="A10638" s="4"/>
      <c r="B10638" s="4"/>
      <c r="D10638" s="4"/>
      <c r="E10638" s="4"/>
      <c r="F10638" s="4"/>
    </row>
    <row r="10639" spans="1:6" x14ac:dyDescent="0.4">
      <c r="A10639" s="4"/>
      <c r="B10639" s="4"/>
      <c r="D10639" s="4"/>
      <c r="E10639" s="4"/>
      <c r="F10639" s="4"/>
    </row>
    <row r="10640" spans="1:6" x14ac:dyDescent="0.4">
      <c r="A10640" s="4"/>
      <c r="B10640" s="4"/>
      <c r="D10640" s="4"/>
      <c r="E10640" s="4"/>
      <c r="F10640" s="4"/>
    </row>
    <row r="10641" spans="1:6" x14ac:dyDescent="0.4">
      <c r="A10641" s="4"/>
      <c r="B10641" s="4"/>
      <c r="D10641" s="4"/>
      <c r="E10641" s="4"/>
      <c r="F10641" s="4"/>
    </row>
    <row r="10642" spans="1:6" x14ac:dyDescent="0.4">
      <c r="A10642" s="4"/>
      <c r="B10642" s="4"/>
      <c r="D10642" s="4"/>
      <c r="E10642" s="4"/>
      <c r="F10642" s="4"/>
    </row>
    <row r="10643" spans="1:6" x14ac:dyDescent="0.4">
      <c r="A10643" s="4"/>
      <c r="B10643" s="4"/>
      <c r="D10643" s="4"/>
      <c r="E10643" s="4"/>
      <c r="F10643" s="4"/>
    </row>
    <row r="10644" spans="1:6" x14ac:dyDescent="0.4">
      <c r="A10644" s="4"/>
      <c r="B10644" s="4"/>
      <c r="D10644" s="4"/>
      <c r="E10644" s="4"/>
      <c r="F10644" s="4"/>
    </row>
    <row r="10645" spans="1:6" x14ac:dyDescent="0.4">
      <c r="A10645" s="4"/>
      <c r="B10645" s="4"/>
      <c r="D10645" s="4"/>
      <c r="E10645" s="4"/>
      <c r="F10645" s="4"/>
    </row>
    <row r="10646" spans="1:6" x14ac:dyDescent="0.4">
      <c r="A10646" s="4"/>
      <c r="B10646" s="4"/>
      <c r="D10646" s="4"/>
      <c r="E10646" s="4"/>
      <c r="F10646" s="4"/>
    </row>
    <row r="10647" spans="1:6" x14ac:dyDescent="0.4">
      <c r="A10647" s="4"/>
      <c r="B10647" s="4"/>
      <c r="D10647" s="4"/>
      <c r="E10647" s="4"/>
      <c r="F10647" s="4"/>
    </row>
    <row r="10648" spans="1:6" x14ac:dyDescent="0.4">
      <c r="A10648" s="4"/>
      <c r="B10648" s="4"/>
      <c r="D10648" s="4"/>
      <c r="E10648" s="4"/>
      <c r="F10648" s="4"/>
    </row>
    <row r="10649" spans="1:6" x14ac:dyDescent="0.4">
      <c r="A10649" s="4"/>
      <c r="B10649" s="4"/>
      <c r="D10649" s="4"/>
      <c r="E10649" s="4"/>
      <c r="F10649" s="4"/>
    </row>
    <row r="10650" spans="1:6" x14ac:dyDescent="0.4">
      <c r="A10650" s="4"/>
      <c r="B10650" s="4"/>
      <c r="D10650" s="4"/>
      <c r="E10650" s="4"/>
      <c r="F10650" s="4"/>
    </row>
    <row r="10651" spans="1:6" x14ac:dyDescent="0.4">
      <c r="A10651" s="4"/>
      <c r="B10651" s="4"/>
      <c r="D10651" s="4"/>
      <c r="E10651" s="4"/>
      <c r="F10651" s="4"/>
    </row>
    <row r="10652" spans="1:6" x14ac:dyDescent="0.4">
      <c r="A10652" s="4"/>
      <c r="B10652" s="4"/>
      <c r="D10652" s="4"/>
      <c r="E10652" s="4"/>
      <c r="F10652" s="4"/>
    </row>
    <row r="10653" spans="1:6" x14ac:dyDescent="0.4">
      <c r="A10653" s="4"/>
      <c r="B10653" s="4"/>
      <c r="D10653" s="4"/>
      <c r="E10653" s="4"/>
      <c r="F10653" s="4"/>
    </row>
    <row r="10654" spans="1:6" x14ac:dyDescent="0.4">
      <c r="A10654" s="4"/>
      <c r="B10654" s="4"/>
      <c r="D10654" s="4"/>
      <c r="E10654" s="4"/>
      <c r="F10654" s="4"/>
    </row>
    <row r="10655" spans="1:6" x14ac:dyDescent="0.4">
      <c r="A10655" s="4"/>
      <c r="B10655" s="4"/>
      <c r="D10655" s="4"/>
      <c r="E10655" s="4"/>
      <c r="F10655" s="4"/>
    </row>
    <row r="10656" spans="1:6" x14ac:dyDescent="0.4">
      <c r="A10656" s="4"/>
      <c r="B10656" s="4"/>
      <c r="D10656" s="4"/>
      <c r="E10656" s="4"/>
      <c r="F10656" s="4"/>
    </row>
    <row r="10657" spans="1:6" x14ac:dyDescent="0.4">
      <c r="A10657" s="4"/>
      <c r="B10657" s="4"/>
      <c r="D10657" s="4"/>
      <c r="E10657" s="4"/>
      <c r="F10657" s="4"/>
    </row>
    <row r="10658" spans="1:6" x14ac:dyDescent="0.4">
      <c r="A10658" s="4"/>
      <c r="B10658" s="4"/>
      <c r="D10658" s="4"/>
      <c r="E10658" s="4"/>
      <c r="F10658" s="4"/>
    </row>
    <row r="10659" spans="1:6" x14ac:dyDescent="0.4">
      <c r="A10659" s="4"/>
      <c r="B10659" s="4"/>
      <c r="D10659" s="4"/>
      <c r="E10659" s="4"/>
      <c r="F10659" s="4"/>
    </row>
    <row r="10660" spans="1:6" x14ac:dyDescent="0.4">
      <c r="A10660" s="4"/>
      <c r="B10660" s="4"/>
      <c r="D10660" s="4"/>
      <c r="E10660" s="4"/>
      <c r="F10660" s="4"/>
    </row>
    <row r="10661" spans="1:6" x14ac:dyDescent="0.4">
      <c r="A10661" s="4"/>
      <c r="B10661" s="4"/>
      <c r="D10661" s="4"/>
      <c r="E10661" s="4"/>
      <c r="F10661" s="4"/>
    </row>
    <row r="10662" spans="1:6" x14ac:dyDescent="0.4">
      <c r="A10662" s="4"/>
      <c r="B10662" s="4"/>
      <c r="D10662" s="4"/>
      <c r="E10662" s="4"/>
      <c r="F10662" s="4"/>
    </row>
    <row r="10663" spans="1:6" x14ac:dyDescent="0.4">
      <c r="A10663" s="4"/>
      <c r="B10663" s="4"/>
      <c r="D10663" s="4"/>
      <c r="E10663" s="4"/>
      <c r="F10663" s="4"/>
    </row>
    <row r="10664" spans="1:6" x14ac:dyDescent="0.4">
      <c r="A10664" s="4"/>
      <c r="B10664" s="4"/>
      <c r="D10664" s="4"/>
      <c r="E10664" s="4"/>
      <c r="F10664" s="4"/>
    </row>
    <row r="10665" spans="1:6" x14ac:dyDescent="0.4">
      <c r="A10665" s="4"/>
      <c r="B10665" s="4"/>
      <c r="D10665" s="4"/>
      <c r="E10665" s="4"/>
      <c r="F10665" s="4"/>
    </row>
    <row r="10666" spans="1:6" x14ac:dyDescent="0.4">
      <c r="A10666" s="4"/>
      <c r="B10666" s="4"/>
      <c r="D10666" s="4"/>
      <c r="E10666" s="4"/>
      <c r="F10666" s="4"/>
    </row>
    <row r="10667" spans="1:6" x14ac:dyDescent="0.4">
      <c r="A10667" s="4"/>
      <c r="B10667" s="4"/>
      <c r="D10667" s="4"/>
      <c r="E10667" s="4"/>
      <c r="F10667" s="4"/>
    </row>
    <row r="10668" spans="1:6" x14ac:dyDescent="0.4">
      <c r="A10668" s="4"/>
      <c r="B10668" s="4"/>
      <c r="D10668" s="4"/>
      <c r="E10668" s="4"/>
      <c r="F10668" s="4"/>
    </row>
    <row r="10669" spans="1:6" x14ac:dyDescent="0.4">
      <c r="A10669" s="4"/>
      <c r="B10669" s="4"/>
      <c r="D10669" s="4"/>
      <c r="E10669" s="4"/>
      <c r="F10669" s="4"/>
    </row>
    <row r="10670" spans="1:6" x14ac:dyDescent="0.4">
      <c r="A10670" s="4"/>
      <c r="B10670" s="4"/>
      <c r="D10670" s="4"/>
      <c r="E10670" s="4"/>
      <c r="F10670" s="4"/>
    </row>
    <row r="10671" spans="1:6" x14ac:dyDescent="0.4">
      <c r="A10671" s="4"/>
      <c r="B10671" s="4"/>
      <c r="D10671" s="4"/>
      <c r="E10671" s="4"/>
      <c r="F10671" s="4"/>
    </row>
    <row r="10672" spans="1:6" x14ac:dyDescent="0.4">
      <c r="A10672" s="4"/>
      <c r="B10672" s="4"/>
      <c r="D10672" s="4"/>
      <c r="E10672" s="4"/>
      <c r="F10672" s="4"/>
    </row>
    <row r="10673" spans="1:6" x14ac:dyDescent="0.4">
      <c r="A10673" s="4"/>
      <c r="B10673" s="4"/>
      <c r="D10673" s="4"/>
      <c r="E10673" s="4"/>
      <c r="F10673" s="4"/>
    </row>
    <row r="10674" spans="1:6" x14ac:dyDescent="0.4">
      <c r="A10674" s="4"/>
      <c r="B10674" s="4"/>
      <c r="D10674" s="4"/>
      <c r="E10674" s="4"/>
      <c r="F10674" s="4"/>
    </row>
    <row r="10675" spans="1:6" x14ac:dyDescent="0.4">
      <c r="A10675" s="4"/>
      <c r="B10675" s="4"/>
      <c r="D10675" s="4"/>
      <c r="E10675" s="4"/>
      <c r="F10675" s="4"/>
    </row>
    <row r="10676" spans="1:6" x14ac:dyDescent="0.4">
      <c r="A10676" s="4"/>
      <c r="B10676" s="4"/>
      <c r="D10676" s="4"/>
      <c r="E10676" s="4"/>
      <c r="F10676" s="4"/>
    </row>
    <row r="10677" spans="1:6" x14ac:dyDescent="0.4">
      <c r="A10677" s="4"/>
      <c r="B10677" s="4"/>
      <c r="D10677" s="4"/>
      <c r="E10677" s="4"/>
      <c r="F10677" s="4"/>
    </row>
    <row r="10678" spans="1:6" x14ac:dyDescent="0.4">
      <c r="A10678" s="4"/>
      <c r="B10678" s="4"/>
      <c r="D10678" s="4"/>
      <c r="E10678" s="4"/>
      <c r="F10678" s="4"/>
    </row>
    <row r="10679" spans="1:6" x14ac:dyDescent="0.4">
      <c r="A10679" s="4"/>
      <c r="B10679" s="4"/>
      <c r="D10679" s="4"/>
      <c r="E10679" s="4"/>
      <c r="F10679" s="4"/>
    </row>
    <row r="10680" spans="1:6" x14ac:dyDescent="0.4">
      <c r="A10680" s="4"/>
      <c r="B10680" s="4"/>
      <c r="D10680" s="4"/>
      <c r="E10680" s="4"/>
      <c r="F10680" s="4"/>
    </row>
    <row r="10681" spans="1:6" x14ac:dyDescent="0.4">
      <c r="A10681" s="4"/>
      <c r="B10681" s="4"/>
      <c r="D10681" s="4"/>
      <c r="E10681" s="4"/>
      <c r="F10681" s="4"/>
    </row>
    <row r="10682" spans="1:6" x14ac:dyDescent="0.4">
      <c r="A10682" s="4"/>
      <c r="B10682" s="4"/>
      <c r="D10682" s="4"/>
      <c r="E10682" s="4"/>
      <c r="F10682" s="4"/>
    </row>
    <row r="10683" spans="1:6" x14ac:dyDescent="0.4">
      <c r="A10683" s="4"/>
      <c r="B10683" s="4"/>
      <c r="D10683" s="4"/>
      <c r="E10683" s="4"/>
      <c r="F10683" s="4"/>
    </row>
    <row r="10684" spans="1:6" x14ac:dyDescent="0.4">
      <c r="A10684" s="4"/>
      <c r="B10684" s="4"/>
      <c r="D10684" s="4"/>
      <c r="E10684" s="4"/>
      <c r="F10684" s="4"/>
    </row>
    <row r="10685" spans="1:6" x14ac:dyDescent="0.4">
      <c r="A10685" s="4"/>
      <c r="B10685" s="4"/>
      <c r="D10685" s="4"/>
      <c r="E10685" s="4"/>
      <c r="F10685" s="4"/>
    </row>
    <row r="10686" spans="1:6" x14ac:dyDescent="0.4">
      <c r="A10686" s="4"/>
      <c r="B10686" s="4"/>
      <c r="D10686" s="4"/>
      <c r="E10686" s="4"/>
      <c r="F10686" s="4"/>
    </row>
    <row r="10687" spans="1:6" x14ac:dyDescent="0.4">
      <c r="A10687" s="4"/>
      <c r="B10687" s="4"/>
      <c r="D10687" s="4"/>
      <c r="E10687" s="4"/>
      <c r="F10687" s="4"/>
    </row>
    <row r="10688" spans="1:6" x14ac:dyDescent="0.4">
      <c r="A10688" s="4"/>
      <c r="B10688" s="4"/>
      <c r="D10688" s="4"/>
      <c r="E10688" s="4"/>
      <c r="F10688" s="4"/>
    </row>
    <row r="10689" spans="1:6" x14ac:dyDescent="0.4">
      <c r="A10689" s="4"/>
      <c r="B10689" s="4"/>
      <c r="D10689" s="4"/>
      <c r="E10689" s="4"/>
      <c r="F10689" s="4"/>
    </row>
    <row r="10690" spans="1:6" x14ac:dyDescent="0.4">
      <c r="A10690" s="4"/>
      <c r="B10690" s="4"/>
      <c r="D10690" s="4"/>
      <c r="E10690" s="4"/>
      <c r="F10690" s="4"/>
    </row>
    <row r="10691" spans="1:6" x14ac:dyDescent="0.4">
      <c r="A10691" s="4"/>
      <c r="B10691" s="4"/>
      <c r="D10691" s="4"/>
      <c r="E10691" s="4"/>
      <c r="F10691" s="4"/>
    </row>
    <row r="10692" spans="1:6" x14ac:dyDescent="0.4">
      <c r="A10692" s="4"/>
      <c r="B10692" s="4"/>
      <c r="D10692" s="4"/>
      <c r="E10692" s="4"/>
      <c r="F10692" s="4"/>
    </row>
    <row r="10693" spans="1:6" x14ac:dyDescent="0.4">
      <c r="A10693" s="4"/>
      <c r="B10693" s="4"/>
      <c r="D10693" s="4"/>
      <c r="E10693" s="4"/>
      <c r="F10693" s="4"/>
    </row>
    <row r="10694" spans="1:6" x14ac:dyDescent="0.4">
      <c r="A10694" s="4"/>
      <c r="B10694" s="4"/>
      <c r="D10694" s="4"/>
      <c r="E10694" s="4"/>
      <c r="F10694" s="4"/>
    </row>
    <row r="10695" spans="1:6" x14ac:dyDescent="0.4">
      <c r="A10695" s="4"/>
      <c r="B10695" s="4"/>
      <c r="D10695" s="4"/>
      <c r="E10695" s="4"/>
      <c r="F10695" s="4"/>
    </row>
    <row r="10696" spans="1:6" x14ac:dyDescent="0.4">
      <c r="A10696" s="4"/>
      <c r="B10696" s="4"/>
      <c r="D10696" s="4"/>
      <c r="E10696" s="4"/>
      <c r="F10696" s="4"/>
    </row>
    <row r="10697" spans="1:6" x14ac:dyDescent="0.4">
      <c r="A10697" s="4"/>
      <c r="B10697" s="4"/>
      <c r="D10697" s="4"/>
      <c r="E10697" s="4"/>
      <c r="F10697" s="4"/>
    </row>
    <row r="10698" spans="1:6" x14ac:dyDescent="0.4">
      <c r="A10698" s="4"/>
      <c r="B10698" s="4"/>
      <c r="D10698" s="4"/>
      <c r="E10698" s="4"/>
      <c r="F10698" s="4"/>
    </row>
    <row r="10699" spans="1:6" x14ac:dyDescent="0.4">
      <c r="A10699" s="4"/>
      <c r="B10699" s="4"/>
      <c r="D10699" s="4"/>
      <c r="E10699" s="4"/>
      <c r="F10699" s="4"/>
    </row>
    <row r="10700" spans="1:6" x14ac:dyDescent="0.4">
      <c r="A10700" s="4"/>
      <c r="B10700" s="4"/>
      <c r="D10700" s="4"/>
      <c r="E10700" s="4"/>
      <c r="F10700" s="4"/>
    </row>
    <row r="10701" spans="1:6" x14ac:dyDescent="0.4">
      <c r="A10701" s="4"/>
      <c r="B10701" s="4"/>
      <c r="D10701" s="4"/>
      <c r="E10701" s="4"/>
      <c r="F10701" s="4"/>
    </row>
    <row r="10702" spans="1:6" x14ac:dyDescent="0.4">
      <c r="A10702" s="4"/>
      <c r="B10702" s="4"/>
      <c r="D10702" s="4"/>
      <c r="E10702" s="4"/>
      <c r="F10702" s="4"/>
    </row>
    <row r="10703" spans="1:6" x14ac:dyDescent="0.4">
      <c r="A10703" s="4"/>
      <c r="B10703" s="4"/>
      <c r="D10703" s="4"/>
      <c r="E10703" s="4"/>
      <c r="F10703" s="4"/>
    </row>
    <row r="10704" spans="1:6" x14ac:dyDescent="0.4">
      <c r="A10704" s="4"/>
      <c r="B10704" s="4"/>
      <c r="D10704" s="4"/>
      <c r="E10704" s="4"/>
      <c r="F10704" s="4"/>
    </row>
    <row r="10705" spans="1:6" x14ac:dyDescent="0.4">
      <c r="A10705" s="4"/>
      <c r="B10705" s="4"/>
      <c r="D10705" s="4"/>
      <c r="E10705" s="4"/>
      <c r="F10705" s="4"/>
    </row>
    <row r="10706" spans="1:6" x14ac:dyDescent="0.4">
      <c r="A10706" s="4"/>
      <c r="B10706" s="4"/>
      <c r="D10706" s="4"/>
      <c r="E10706" s="4"/>
      <c r="F10706" s="4"/>
    </row>
    <row r="10707" spans="1:6" x14ac:dyDescent="0.4">
      <c r="A10707" s="4"/>
      <c r="B10707" s="4"/>
      <c r="D10707" s="4"/>
      <c r="E10707" s="4"/>
      <c r="F10707" s="4"/>
    </row>
    <row r="10708" spans="1:6" x14ac:dyDescent="0.4">
      <c r="A10708" s="4"/>
      <c r="B10708" s="4"/>
      <c r="D10708" s="4"/>
      <c r="E10708" s="4"/>
      <c r="F10708" s="4"/>
    </row>
    <row r="10709" spans="1:6" x14ac:dyDescent="0.4">
      <c r="A10709" s="4"/>
      <c r="B10709" s="4"/>
      <c r="D10709" s="4"/>
      <c r="E10709" s="4"/>
      <c r="F10709" s="4"/>
    </row>
    <row r="10710" spans="1:6" x14ac:dyDescent="0.4">
      <c r="A10710" s="4"/>
      <c r="B10710" s="4"/>
      <c r="D10710" s="4"/>
      <c r="E10710" s="4"/>
      <c r="F10710" s="4"/>
    </row>
    <row r="10711" spans="1:6" x14ac:dyDescent="0.4">
      <c r="A10711" s="4"/>
      <c r="B10711" s="4"/>
      <c r="D10711" s="4"/>
      <c r="E10711" s="4"/>
      <c r="F10711" s="4"/>
    </row>
    <row r="10712" spans="1:6" x14ac:dyDescent="0.4">
      <c r="A10712" s="4"/>
      <c r="B10712" s="4"/>
      <c r="D10712" s="4"/>
      <c r="E10712" s="4"/>
      <c r="F10712" s="4"/>
    </row>
    <row r="10713" spans="1:6" x14ac:dyDescent="0.4">
      <c r="A10713" s="4"/>
      <c r="B10713" s="4"/>
      <c r="D10713" s="4"/>
      <c r="E10713" s="4"/>
      <c r="F10713" s="4"/>
    </row>
    <row r="10714" spans="1:6" x14ac:dyDescent="0.4">
      <c r="A10714" s="4"/>
      <c r="B10714" s="4"/>
      <c r="D10714" s="4"/>
      <c r="E10714" s="4"/>
      <c r="F10714" s="4"/>
    </row>
    <row r="10715" spans="1:6" x14ac:dyDescent="0.4">
      <c r="A10715" s="4"/>
      <c r="B10715" s="4"/>
      <c r="D10715" s="4"/>
      <c r="E10715" s="4"/>
      <c r="F10715" s="4"/>
    </row>
    <row r="10716" spans="1:6" x14ac:dyDescent="0.4">
      <c r="A10716" s="4"/>
      <c r="B10716" s="4"/>
      <c r="D10716" s="4"/>
      <c r="E10716" s="4"/>
      <c r="F10716" s="4"/>
    </row>
    <row r="10717" spans="1:6" x14ac:dyDescent="0.4">
      <c r="A10717" s="4"/>
      <c r="B10717" s="4"/>
      <c r="D10717" s="4"/>
      <c r="E10717" s="4"/>
      <c r="F10717" s="4"/>
    </row>
    <row r="10718" spans="1:6" x14ac:dyDescent="0.4">
      <c r="A10718" s="4"/>
      <c r="B10718" s="4"/>
      <c r="D10718" s="4"/>
      <c r="E10718" s="4"/>
      <c r="F10718" s="4"/>
    </row>
    <row r="10719" spans="1:6" x14ac:dyDescent="0.4">
      <c r="A10719" s="4"/>
      <c r="B10719" s="4"/>
      <c r="D10719" s="4"/>
      <c r="E10719" s="4"/>
      <c r="F10719" s="4"/>
    </row>
    <row r="10720" spans="1:6" x14ac:dyDescent="0.4">
      <c r="A10720" s="4"/>
      <c r="B10720" s="4"/>
      <c r="D10720" s="4"/>
      <c r="E10720" s="4"/>
      <c r="F10720" s="4"/>
    </row>
    <row r="10721" spans="1:6" x14ac:dyDescent="0.4">
      <c r="A10721" s="4"/>
      <c r="B10721" s="4"/>
      <c r="D10721" s="4"/>
      <c r="E10721" s="4"/>
      <c r="F10721" s="4"/>
    </row>
    <row r="10722" spans="1:6" x14ac:dyDescent="0.4">
      <c r="A10722" s="4"/>
      <c r="B10722" s="4"/>
      <c r="D10722" s="4"/>
      <c r="E10722" s="4"/>
      <c r="F10722" s="4"/>
    </row>
    <row r="10723" spans="1:6" x14ac:dyDescent="0.4">
      <c r="A10723" s="4"/>
      <c r="B10723" s="4"/>
      <c r="D10723" s="4"/>
      <c r="E10723" s="4"/>
      <c r="F10723" s="4"/>
    </row>
    <row r="10724" spans="1:6" x14ac:dyDescent="0.4">
      <c r="A10724" s="4"/>
      <c r="B10724" s="4"/>
      <c r="D10724" s="4"/>
      <c r="E10724" s="4"/>
      <c r="F10724" s="4"/>
    </row>
    <row r="10725" spans="1:6" x14ac:dyDescent="0.4">
      <c r="A10725" s="4"/>
      <c r="B10725" s="4"/>
      <c r="D10725" s="4"/>
      <c r="E10725" s="4"/>
      <c r="F10725" s="4"/>
    </row>
    <row r="10726" spans="1:6" x14ac:dyDescent="0.4">
      <c r="A10726" s="4"/>
      <c r="B10726" s="4"/>
      <c r="D10726" s="4"/>
      <c r="E10726" s="4"/>
      <c r="F10726" s="4"/>
    </row>
    <row r="10727" spans="1:6" x14ac:dyDescent="0.4">
      <c r="A10727" s="4"/>
      <c r="B10727" s="4"/>
      <c r="D10727" s="4"/>
      <c r="E10727" s="4"/>
      <c r="F10727" s="4"/>
    </row>
    <row r="10728" spans="1:6" x14ac:dyDescent="0.4">
      <c r="A10728" s="4"/>
      <c r="B10728" s="4"/>
      <c r="D10728" s="4"/>
      <c r="E10728" s="4"/>
      <c r="F10728" s="4"/>
    </row>
    <row r="10729" spans="1:6" x14ac:dyDescent="0.4">
      <c r="A10729" s="4"/>
      <c r="B10729" s="4"/>
      <c r="D10729" s="4"/>
      <c r="E10729" s="4"/>
      <c r="F10729" s="4"/>
    </row>
    <row r="10730" spans="1:6" x14ac:dyDescent="0.4">
      <c r="A10730" s="4"/>
      <c r="B10730" s="4"/>
      <c r="D10730" s="4"/>
      <c r="E10730" s="4"/>
      <c r="F10730" s="4"/>
    </row>
    <row r="10731" spans="1:6" x14ac:dyDescent="0.4">
      <c r="A10731" s="4"/>
      <c r="B10731" s="4"/>
      <c r="D10731" s="4"/>
      <c r="E10731" s="4"/>
      <c r="F10731" s="4"/>
    </row>
    <row r="10732" spans="1:6" x14ac:dyDescent="0.4">
      <c r="A10732" s="4"/>
      <c r="B10732" s="4"/>
      <c r="D10732" s="4"/>
      <c r="E10732" s="4"/>
      <c r="F10732" s="4"/>
    </row>
    <row r="10733" spans="1:6" x14ac:dyDescent="0.4">
      <c r="A10733" s="4"/>
      <c r="B10733" s="4"/>
      <c r="D10733" s="4"/>
      <c r="E10733" s="4"/>
      <c r="F10733" s="4"/>
    </row>
    <row r="10734" spans="1:6" x14ac:dyDescent="0.4">
      <c r="A10734" s="4"/>
      <c r="B10734" s="4"/>
      <c r="D10734" s="4"/>
      <c r="E10734" s="4"/>
      <c r="F10734" s="4"/>
    </row>
    <row r="10735" spans="1:6" x14ac:dyDescent="0.4">
      <c r="A10735" s="4"/>
      <c r="B10735" s="4"/>
      <c r="D10735" s="4"/>
      <c r="E10735" s="4"/>
      <c r="F10735" s="4"/>
    </row>
    <row r="10736" spans="1:6" x14ac:dyDescent="0.4">
      <c r="A10736" s="4"/>
      <c r="B10736" s="4"/>
      <c r="D10736" s="4"/>
      <c r="E10736" s="4"/>
      <c r="F10736" s="4"/>
    </row>
    <row r="10737" spans="1:6" x14ac:dyDescent="0.4">
      <c r="A10737" s="4"/>
      <c r="B10737" s="4"/>
      <c r="D10737" s="4"/>
      <c r="E10737" s="4"/>
      <c r="F10737" s="4"/>
    </row>
    <row r="10738" spans="1:6" x14ac:dyDescent="0.4">
      <c r="A10738" s="4"/>
      <c r="B10738" s="4"/>
      <c r="D10738" s="4"/>
      <c r="E10738" s="4"/>
      <c r="F10738" s="4"/>
    </row>
    <row r="10739" spans="1:6" x14ac:dyDescent="0.4">
      <c r="A10739" s="4"/>
      <c r="B10739" s="4"/>
      <c r="D10739" s="4"/>
      <c r="E10739" s="4"/>
      <c r="F10739" s="4"/>
    </row>
    <row r="10740" spans="1:6" x14ac:dyDescent="0.4">
      <c r="A10740" s="4"/>
      <c r="B10740" s="4"/>
      <c r="D10740" s="4"/>
      <c r="E10740" s="4"/>
      <c r="F10740" s="4"/>
    </row>
    <row r="10741" spans="1:6" x14ac:dyDescent="0.4">
      <c r="A10741" s="4"/>
      <c r="B10741" s="4"/>
      <c r="D10741" s="4"/>
      <c r="E10741" s="4"/>
      <c r="F10741" s="4"/>
    </row>
    <row r="10742" spans="1:6" x14ac:dyDescent="0.4">
      <c r="A10742" s="4"/>
      <c r="B10742" s="4"/>
      <c r="D10742" s="4"/>
      <c r="E10742" s="4"/>
      <c r="F10742" s="4"/>
    </row>
    <row r="10743" spans="1:6" x14ac:dyDescent="0.4">
      <c r="A10743" s="4"/>
      <c r="B10743" s="4"/>
      <c r="D10743" s="4"/>
      <c r="E10743" s="4"/>
      <c r="F10743" s="4"/>
    </row>
    <row r="10744" spans="1:6" x14ac:dyDescent="0.4">
      <c r="A10744" s="4"/>
      <c r="B10744" s="4"/>
      <c r="D10744" s="4"/>
      <c r="E10744" s="4"/>
      <c r="F10744" s="4"/>
    </row>
    <row r="10745" spans="1:6" x14ac:dyDescent="0.4">
      <c r="A10745" s="4"/>
      <c r="B10745" s="4"/>
      <c r="D10745" s="4"/>
      <c r="E10745" s="4"/>
      <c r="F10745" s="4"/>
    </row>
    <row r="10746" spans="1:6" x14ac:dyDescent="0.4">
      <c r="A10746" s="4"/>
      <c r="B10746" s="4"/>
      <c r="D10746" s="4"/>
      <c r="E10746" s="4"/>
      <c r="F10746" s="4"/>
    </row>
    <row r="10747" spans="1:6" x14ac:dyDescent="0.4">
      <c r="A10747" s="4"/>
      <c r="B10747" s="4"/>
      <c r="D10747" s="4"/>
      <c r="E10747" s="4"/>
      <c r="F10747" s="4"/>
    </row>
    <row r="10748" spans="1:6" x14ac:dyDescent="0.4">
      <c r="A10748" s="4"/>
      <c r="B10748" s="4"/>
      <c r="D10748" s="4"/>
      <c r="E10748" s="4"/>
      <c r="F10748" s="4"/>
    </row>
    <row r="10749" spans="1:6" x14ac:dyDescent="0.4">
      <c r="A10749" s="4"/>
      <c r="B10749" s="4"/>
      <c r="D10749" s="4"/>
      <c r="E10749" s="4"/>
      <c r="F10749" s="4"/>
    </row>
    <row r="10750" spans="1:6" x14ac:dyDescent="0.4">
      <c r="A10750" s="4"/>
      <c r="B10750" s="4"/>
      <c r="D10750" s="4"/>
      <c r="E10750" s="4"/>
      <c r="F10750" s="4"/>
    </row>
    <row r="10751" spans="1:6" x14ac:dyDescent="0.4">
      <c r="A10751" s="4"/>
      <c r="B10751" s="4"/>
      <c r="D10751" s="4"/>
      <c r="E10751" s="4"/>
      <c r="F10751" s="4"/>
    </row>
    <row r="10752" spans="1:6" x14ac:dyDescent="0.4">
      <c r="A10752" s="4"/>
      <c r="B10752" s="4"/>
      <c r="D10752" s="4"/>
      <c r="E10752" s="4"/>
      <c r="F10752" s="4"/>
    </row>
    <row r="10753" spans="1:6" x14ac:dyDescent="0.4">
      <c r="A10753" s="4"/>
      <c r="B10753" s="4"/>
      <c r="D10753" s="4"/>
      <c r="E10753" s="4"/>
      <c r="F10753" s="4"/>
    </row>
    <row r="10754" spans="1:6" x14ac:dyDescent="0.4">
      <c r="A10754" s="4"/>
      <c r="B10754" s="4"/>
      <c r="D10754" s="4"/>
      <c r="E10754" s="4"/>
      <c r="F10754" s="4"/>
    </row>
    <row r="10755" spans="1:6" x14ac:dyDescent="0.4">
      <c r="A10755" s="4"/>
      <c r="B10755" s="4"/>
      <c r="D10755" s="4"/>
      <c r="E10755" s="4"/>
      <c r="F10755" s="4"/>
    </row>
    <row r="10756" spans="1:6" x14ac:dyDescent="0.4">
      <c r="A10756" s="4"/>
      <c r="B10756" s="4"/>
      <c r="D10756" s="4"/>
      <c r="E10756" s="4"/>
      <c r="F10756" s="4"/>
    </row>
    <row r="10757" spans="1:6" x14ac:dyDescent="0.4">
      <c r="A10757" s="4"/>
      <c r="B10757" s="4"/>
      <c r="D10757" s="4"/>
      <c r="E10757" s="4"/>
      <c r="F10757" s="4"/>
    </row>
    <row r="10758" spans="1:6" x14ac:dyDescent="0.4">
      <c r="A10758" s="4"/>
      <c r="B10758" s="4"/>
      <c r="D10758" s="4"/>
      <c r="E10758" s="4"/>
      <c r="F10758" s="4"/>
    </row>
    <row r="10759" spans="1:6" x14ac:dyDescent="0.4">
      <c r="A10759" s="4"/>
      <c r="B10759" s="4"/>
      <c r="D10759" s="4"/>
      <c r="E10759" s="4"/>
      <c r="F10759" s="4"/>
    </row>
    <row r="10760" spans="1:6" x14ac:dyDescent="0.4">
      <c r="A10760" s="4"/>
      <c r="B10760" s="4"/>
      <c r="D10760" s="4"/>
      <c r="E10760" s="4"/>
      <c r="F10760" s="4"/>
    </row>
    <row r="10761" spans="1:6" x14ac:dyDescent="0.4">
      <c r="A10761" s="4"/>
      <c r="B10761" s="4"/>
      <c r="D10761" s="4"/>
      <c r="E10761" s="4"/>
      <c r="F10761" s="4"/>
    </row>
    <row r="10762" spans="1:6" x14ac:dyDescent="0.4">
      <c r="A10762" s="4"/>
      <c r="B10762" s="4"/>
      <c r="D10762" s="4"/>
      <c r="E10762" s="4"/>
      <c r="F10762" s="4"/>
    </row>
    <row r="10763" spans="1:6" x14ac:dyDescent="0.4">
      <c r="A10763" s="4"/>
      <c r="B10763" s="4"/>
      <c r="D10763" s="4"/>
      <c r="E10763" s="4"/>
      <c r="F10763" s="4"/>
    </row>
    <row r="10764" spans="1:6" x14ac:dyDescent="0.4">
      <c r="A10764" s="4"/>
      <c r="B10764" s="4"/>
      <c r="D10764" s="4"/>
      <c r="E10764" s="4"/>
      <c r="F10764" s="4"/>
    </row>
    <row r="10765" spans="1:6" x14ac:dyDescent="0.4">
      <c r="A10765" s="4"/>
      <c r="B10765" s="4"/>
      <c r="D10765" s="4"/>
      <c r="E10765" s="4"/>
      <c r="F10765" s="4"/>
    </row>
    <row r="10766" spans="1:6" x14ac:dyDescent="0.4">
      <c r="A10766" s="4"/>
      <c r="B10766" s="4"/>
      <c r="D10766" s="4"/>
      <c r="E10766" s="4"/>
      <c r="F10766" s="4"/>
    </row>
    <row r="10767" spans="1:6" x14ac:dyDescent="0.4">
      <c r="A10767" s="4"/>
      <c r="B10767" s="4"/>
      <c r="D10767" s="4"/>
      <c r="E10767" s="4"/>
      <c r="F10767" s="4"/>
    </row>
    <row r="10768" spans="1:6" x14ac:dyDescent="0.4">
      <c r="A10768" s="4"/>
      <c r="B10768" s="4"/>
      <c r="D10768" s="4"/>
      <c r="E10768" s="4"/>
      <c r="F10768" s="4"/>
    </row>
    <row r="10769" spans="1:6" x14ac:dyDescent="0.4">
      <c r="A10769" s="4"/>
      <c r="B10769" s="4"/>
      <c r="D10769" s="4"/>
      <c r="E10769" s="4"/>
      <c r="F10769" s="4"/>
    </row>
    <row r="10770" spans="1:6" x14ac:dyDescent="0.4">
      <c r="A10770" s="4"/>
      <c r="B10770" s="4"/>
      <c r="D10770" s="4"/>
      <c r="E10770" s="4"/>
      <c r="F10770" s="4"/>
    </row>
    <row r="10771" spans="1:6" x14ac:dyDescent="0.4">
      <c r="A10771" s="4"/>
      <c r="B10771" s="4"/>
      <c r="D10771" s="4"/>
      <c r="E10771" s="4"/>
      <c r="F10771" s="4"/>
    </row>
    <row r="10772" spans="1:6" x14ac:dyDescent="0.4">
      <c r="A10772" s="4"/>
      <c r="B10772" s="4"/>
      <c r="D10772" s="4"/>
      <c r="E10772" s="4"/>
      <c r="F10772" s="4"/>
    </row>
    <row r="10773" spans="1:6" x14ac:dyDescent="0.4">
      <c r="A10773" s="4"/>
      <c r="B10773" s="4"/>
      <c r="D10773" s="4"/>
      <c r="E10773" s="4"/>
      <c r="F10773" s="4"/>
    </row>
    <row r="10774" spans="1:6" x14ac:dyDescent="0.4">
      <c r="A10774" s="4"/>
      <c r="B10774" s="4"/>
      <c r="D10774" s="4"/>
      <c r="E10774" s="4"/>
      <c r="F10774" s="4"/>
    </row>
    <row r="10775" spans="1:6" x14ac:dyDescent="0.4">
      <c r="A10775" s="4"/>
      <c r="B10775" s="4"/>
      <c r="D10775" s="4"/>
      <c r="E10775" s="4"/>
      <c r="F10775" s="4"/>
    </row>
    <row r="10776" spans="1:6" x14ac:dyDescent="0.4">
      <c r="A10776" s="4"/>
      <c r="B10776" s="4"/>
      <c r="D10776" s="4"/>
      <c r="E10776" s="4"/>
      <c r="F10776" s="4"/>
    </row>
    <row r="10777" spans="1:6" x14ac:dyDescent="0.4">
      <c r="A10777" s="4"/>
      <c r="B10777" s="4"/>
      <c r="D10777" s="4"/>
      <c r="E10777" s="4"/>
      <c r="F10777" s="4"/>
    </row>
    <row r="10778" spans="1:6" x14ac:dyDescent="0.4">
      <c r="A10778" s="4"/>
      <c r="B10778" s="4"/>
      <c r="D10778" s="4"/>
      <c r="E10778" s="4"/>
      <c r="F10778" s="4"/>
    </row>
    <row r="10779" spans="1:6" x14ac:dyDescent="0.4">
      <c r="A10779" s="4"/>
      <c r="B10779" s="4"/>
      <c r="D10779" s="4"/>
      <c r="E10779" s="4"/>
      <c r="F10779" s="4"/>
    </row>
    <row r="10780" spans="1:6" x14ac:dyDescent="0.4">
      <c r="A10780" s="4"/>
      <c r="B10780" s="4"/>
      <c r="D10780" s="4"/>
      <c r="E10780" s="4"/>
      <c r="F10780" s="4"/>
    </row>
    <row r="10781" spans="1:6" x14ac:dyDescent="0.4">
      <c r="A10781" s="4"/>
      <c r="B10781" s="4"/>
      <c r="D10781" s="4"/>
      <c r="E10781" s="4"/>
      <c r="F10781" s="4"/>
    </row>
    <row r="10782" spans="1:6" x14ac:dyDescent="0.4">
      <c r="A10782" s="4"/>
      <c r="B10782" s="4"/>
      <c r="D10782" s="4"/>
      <c r="E10782" s="4"/>
      <c r="F10782" s="4"/>
    </row>
    <row r="10783" spans="1:6" x14ac:dyDescent="0.4">
      <c r="A10783" s="4"/>
      <c r="B10783" s="4"/>
      <c r="D10783" s="4"/>
      <c r="E10783" s="4"/>
      <c r="F10783" s="4"/>
    </row>
    <row r="10784" spans="1:6" x14ac:dyDescent="0.4">
      <c r="A10784" s="4"/>
      <c r="B10784" s="4"/>
      <c r="D10784" s="4"/>
      <c r="E10784" s="4"/>
      <c r="F10784" s="4"/>
    </row>
    <row r="10785" spans="1:6" x14ac:dyDescent="0.4">
      <c r="A10785" s="4"/>
      <c r="B10785" s="4"/>
      <c r="D10785" s="4"/>
      <c r="E10785" s="4"/>
      <c r="F10785" s="4"/>
    </row>
    <row r="10786" spans="1:6" x14ac:dyDescent="0.4">
      <c r="A10786" s="4"/>
      <c r="B10786" s="4"/>
      <c r="D10786" s="4"/>
      <c r="E10786" s="4"/>
      <c r="F10786" s="4"/>
    </row>
    <row r="10787" spans="1:6" x14ac:dyDescent="0.4">
      <c r="A10787" s="4"/>
      <c r="B10787" s="4"/>
      <c r="D10787" s="4"/>
      <c r="E10787" s="4"/>
      <c r="F10787" s="4"/>
    </row>
    <row r="10788" spans="1:6" x14ac:dyDescent="0.4">
      <c r="A10788" s="4"/>
      <c r="B10788" s="4"/>
      <c r="D10788" s="4"/>
      <c r="E10788" s="4"/>
      <c r="F10788" s="4"/>
    </row>
    <row r="10789" spans="1:6" x14ac:dyDescent="0.4">
      <c r="A10789" s="4"/>
      <c r="B10789" s="4"/>
      <c r="D10789" s="4"/>
      <c r="E10789" s="4"/>
      <c r="F10789" s="4"/>
    </row>
    <row r="10790" spans="1:6" x14ac:dyDescent="0.4">
      <c r="A10790" s="4"/>
      <c r="B10790" s="4"/>
      <c r="D10790" s="4"/>
      <c r="E10790" s="4"/>
      <c r="F10790" s="4"/>
    </row>
    <row r="10791" spans="1:6" x14ac:dyDescent="0.4">
      <c r="A10791" s="4"/>
      <c r="B10791" s="4"/>
      <c r="D10791" s="4"/>
      <c r="E10791" s="4"/>
      <c r="F10791" s="4"/>
    </row>
    <row r="10792" spans="1:6" x14ac:dyDescent="0.4">
      <c r="A10792" s="4"/>
      <c r="B10792" s="4"/>
      <c r="D10792" s="4"/>
      <c r="E10792" s="4"/>
      <c r="F10792" s="4"/>
    </row>
    <row r="10793" spans="1:6" x14ac:dyDescent="0.4">
      <c r="A10793" s="4"/>
      <c r="B10793" s="4"/>
      <c r="D10793" s="4"/>
      <c r="E10793" s="4"/>
      <c r="F10793" s="4"/>
    </row>
    <row r="10794" spans="1:6" x14ac:dyDescent="0.4">
      <c r="A10794" s="4"/>
      <c r="B10794" s="4"/>
      <c r="D10794" s="4"/>
      <c r="E10794" s="4"/>
      <c r="F10794" s="4"/>
    </row>
    <row r="10795" spans="1:6" x14ac:dyDescent="0.4">
      <c r="A10795" s="4"/>
      <c r="B10795" s="4"/>
      <c r="D10795" s="4"/>
      <c r="E10795" s="4"/>
      <c r="F10795" s="4"/>
    </row>
    <row r="10796" spans="1:6" x14ac:dyDescent="0.4">
      <c r="A10796" s="4"/>
      <c r="B10796" s="4"/>
      <c r="D10796" s="4"/>
      <c r="E10796" s="4"/>
      <c r="F10796" s="4"/>
    </row>
    <row r="10797" spans="1:6" x14ac:dyDescent="0.4">
      <c r="A10797" s="4"/>
      <c r="B10797" s="4"/>
      <c r="D10797" s="4"/>
      <c r="E10797" s="4"/>
      <c r="F10797" s="4"/>
    </row>
    <row r="10798" spans="1:6" x14ac:dyDescent="0.4">
      <c r="A10798" s="4"/>
      <c r="B10798" s="4"/>
      <c r="D10798" s="4"/>
      <c r="E10798" s="4"/>
      <c r="F10798" s="4"/>
    </row>
    <row r="10799" spans="1:6" x14ac:dyDescent="0.4">
      <c r="A10799" s="4"/>
      <c r="B10799" s="4"/>
      <c r="D10799" s="4"/>
      <c r="E10799" s="4"/>
      <c r="F10799" s="4"/>
    </row>
    <row r="10800" spans="1:6" x14ac:dyDescent="0.4">
      <c r="A10800" s="4"/>
      <c r="B10800" s="4"/>
      <c r="D10800" s="4"/>
      <c r="E10800" s="4"/>
      <c r="F10800" s="4"/>
    </row>
    <row r="10801" spans="1:6" x14ac:dyDescent="0.4">
      <c r="A10801" s="4"/>
      <c r="B10801" s="4"/>
      <c r="D10801" s="4"/>
      <c r="E10801" s="4"/>
      <c r="F10801" s="4"/>
    </row>
    <row r="10802" spans="1:6" x14ac:dyDescent="0.4">
      <c r="A10802" s="4"/>
      <c r="B10802" s="4"/>
      <c r="D10802" s="4"/>
      <c r="E10802" s="4"/>
      <c r="F10802" s="4"/>
    </row>
    <row r="10803" spans="1:6" x14ac:dyDescent="0.4">
      <c r="A10803" s="4"/>
      <c r="B10803" s="4"/>
      <c r="D10803" s="4"/>
      <c r="E10803" s="4"/>
      <c r="F10803" s="4"/>
    </row>
    <row r="10804" spans="1:6" x14ac:dyDescent="0.4">
      <c r="A10804" s="4"/>
      <c r="B10804" s="4"/>
      <c r="D10804" s="4"/>
      <c r="E10804" s="4"/>
      <c r="F10804" s="4"/>
    </row>
    <row r="10805" spans="1:6" x14ac:dyDescent="0.4">
      <c r="A10805" s="4"/>
      <c r="B10805" s="4"/>
      <c r="D10805" s="4"/>
      <c r="E10805" s="4"/>
      <c r="F10805" s="4"/>
    </row>
    <row r="10806" spans="1:6" x14ac:dyDescent="0.4">
      <c r="A10806" s="4"/>
      <c r="B10806" s="4"/>
      <c r="D10806" s="4"/>
      <c r="E10806" s="4"/>
      <c r="F10806" s="4"/>
    </row>
    <row r="10807" spans="1:6" x14ac:dyDescent="0.4">
      <c r="A10807" s="4"/>
      <c r="B10807" s="4"/>
      <c r="D10807" s="4"/>
      <c r="E10807" s="4"/>
      <c r="F10807" s="4"/>
    </row>
    <row r="10808" spans="1:6" x14ac:dyDescent="0.4">
      <c r="A10808" s="4"/>
      <c r="B10808" s="4"/>
      <c r="D10808" s="4"/>
      <c r="E10808" s="4"/>
      <c r="F10808" s="4"/>
    </row>
    <row r="10809" spans="1:6" x14ac:dyDescent="0.4">
      <c r="A10809" s="4"/>
      <c r="B10809" s="4"/>
      <c r="D10809" s="4"/>
      <c r="E10809" s="4"/>
      <c r="F10809" s="4"/>
    </row>
    <row r="10810" spans="1:6" x14ac:dyDescent="0.4">
      <c r="A10810" s="4"/>
      <c r="B10810" s="4"/>
      <c r="D10810" s="4"/>
      <c r="E10810" s="4"/>
      <c r="F10810" s="4"/>
    </row>
    <row r="10811" spans="1:6" x14ac:dyDescent="0.4">
      <c r="A10811" s="4"/>
      <c r="B10811" s="4"/>
      <c r="D10811" s="4"/>
      <c r="E10811" s="4"/>
      <c r="F10811" s="4"/>
    </row>
    <row r="10812" spans="1:6" x14ac:dyDescent="0.4">
      <c r="A10812" s="4"/>
      <c r="B10812" s="4"/>
      <c r="D10812" s="4"/>
      <c r="E10812" s="4"/>
      <c r="F10812" s="4"/>
    </row>
    <row r="10813" spans="1:6" x14ac:dyDescent="0.4">
      <c r="A10813" s="4"/>
      <c r="B10813" s="4"/>
      <c r="D10813" s="4"/>
      <c r="E10813" s="4"/>
      <c r="F10813" s="4"/>
    </row>
    <row r="10814" spans="1:6" x14ac:dyDescent="0.4">
      <c r="A10814" s="4"/>
      <c r="B10814" s="4"/>
      <c r="D10814" s="4"/>
      <c r="E10814" s="4"/>
      <c r="F10814" s="4"/>
    </row>
    <row r="10815" spans="1:6" x14ac:dyDescent="0.4">
      <c r="A10815" s="4"/>
      <c r="B10815" s="4"/>
      <c r="D10815" s="4"/>
      <c r="E10815" s="4"/>
      <c r="F10815" s="4"/>
    </row>
    <row r="10816" spans="1:6" x14ac:dyDescent="0.4">
      <c r="A10816" s="4"/>
      <c r="B10816" s="4"/>
      <c r="D10816" s="4"/>
      <c r="E10816" s="4"/>
      <c r="F10816" s="4"/>
    </row>
    <row r="10817" spans="1:6" x14ac:dyDescent="0.4">
      <c r="A10817" s="4"/>
      <c r="B10817" s="4"/>
      <c r="D10817" s="4"/>
      <c r="E10817" s="4"/>
      <c r="F10817" s="4"/>
    </row>
    <row r="10818" spans="1:6" x14ac:dyDescent="0.4">
      <c r="A10818" s="4"/>
      <c r="B10818" s="4"/>
      <c r="D10818" s="4"/>
      <c r="E10818" s="4"/>
      <c r="F10818" s="4"/>
    </row>
    <row r="10819" spans="1:6" x14ac:dyDescent="0.4">
      <c r="A10819" s="4"/>
      <c r="B10819" s="4"/>
      <c r="D10819" s="4"/>
      <c r="E10819" s="4"/>
      <c r="F10819" s="4"/>
    </row>
    <row r="10820" spans="1:6" x14ac:dyDescent="0.4">
      <c r="A10820" s="4"/>
      <c r="B10820" s="4"/>
      <c r="D10820" s="4"/>
      <c r="E10820" s="4"/>
      <c r="F10820" s="4"/>
    </row>
    <row r="10821" spans="1:6" x14ac:dyDescent="0.4">
      <c r="A10821" s="4"/>
      <c r="B10821" s="4"/>
      <c r="D10821" s="4"/>
      <c r="E10821" s="4"/>
      <c r="F10821" s="4"/>
    </row>
    <row r="10822" spans="1:6" x14ac:dyDescent="0.4">
      <c r="A10822" s="4"/>
      <c r="B10822" s="4"/>
      <c r="D10822" s="4"/>
      <c r="E10822" s="4"/>
      <c r="F10822" s="4"/>
    </row>
    <row r="10823" spans="1:6" x14ac:dyDescent="0.4">
      <c r="A10823" s="4"/>
      <c r="B10823" s="4"/>
      <c r="D10823" s="4"/>
      <c r="E10823" s="4"/>
      <c r="F10823" s="4"/>
    </row>
    <row r="10824" spans="1:6" x14ac:dyDescent="0.4">
      <c r="A10824" s="4"/>
      <c r="B10824" s="4"/>
      <c r="D10824" s="4"/>
      <c r="E10824" s="4"/>
      <c r="F10824" s="4"/>
    </row>
    <row r="10825" spans="1:6" x14ac:dyDescent="0.4">
      <c r="A10825" s="4"/>
      <c r="B10825" s="4"/>
      <c r="D10825" s="4"/>
      <c r="E10825" s="4"/>
      <c r="F10825" s="4"/>
    </row>
    <row r="10826" spans="1:6" x14ac:dyDescent="0.4">
      <c r="A10826" s="4"/>
      <c r="B10826" s="4"/>
      <c r="D10826" s="4"/>
      <c r="E10826" s="4"/>
      <c r="F10826" s="4"/>
    </row>
    <row r="10827" spans="1:6" x14ac:dyDescent="0.4">
      <c r="A10827" s="4"/>
      <c r="B10827" s="4"/>
      <c r="D10827" s="4"/>
      <c r="E10827" s="4"/>
      <c r="F10827" s="4"/>
    </row>
    <row r="10828" spans="1:6" x14ac:dyDescent="0.4">
      <c r="A10828" s="4"/>
      <c r="B10828" s="4"/>
      <c r="D10828" s="4"/>
      <c r="E10828" s="4"/>
      <c r="F10828" s="4"/>
    </row>
    <row r="10829" spans="1:6" x14ac:dyDescent="0.4">
      <c r="A10829" s="4"/>
      <c r="B10829" s="4"/>
      <c r="D10829" s="4"/>
      <c r="E10829" s="4"/>
      <c r="F10829" s="4"/>
    </row>
    <row r="10830" spans="1:6" x14ac:dyDescent="0.4">
      <c r="A10830" s="4"/>
      <c r="B10830" s="4"/>
      <c r="D10830" s="4"/>
      <c r="E10830" s="4"/>
      <c r="F10830" s="4"/>
    </row>
    <row r="10831" spans="1:6" x14ac:dyDescent="0.4">
      <c r="A10831" s="4"/>
      <c r="B10831" s="4"/>
      <c r="D10831" s="4"/>
      <c r="E10831" s="4"/>
      <c r="F10831" s="4"/>
    </row>
    <row r="10832" spans="1:6" x14ac:dyDescent="0.4">
      <c r="A10832" s="4"/>
      <c r="B10832" s="4"/>
      <c r="D10832" s="4"/>
      <c r="E10832" s="4"/>
      <c r="F10832" s="4"/>
    </row>
    <row r="10833" spans="1:6" x14ac:dyDescent="0.4">
      <c r="A10833" s="4"/>
      <c r="B10833" s="4"/>
      <c r="D10833" s="4"/>
      <c r="E10833" s="4"/>
      <c r="F10833" s="4"/>
    </row>
    <row r="10834" spans="1:6" x14ac:dyDescent="0.4">
      <c r="A10834" s="4"/>
      <c r="B10834" s="4"/>
      <c r="D10834" s="4"/>
      <c r="E10834" s="4"/>
      <c r="F10834" s="4"/>
    </row>
    <row r="10835" spans="1:6" x14ac:dyDescent="0.4">
      <c r="A10835" s="4"/>
      <c r="B10835" s="4"/>
      <c r="D10835" s="4"/>
      <c r="E10835" s="4"/>
      <c r="F10835" s="4"/>
    </row>
    <row r="10836" spans="1:6" x14ac:dyDescent="0.4">
      <c r="A10836" s="4"/>
      <c r="B10836" s="4"/>
      <c r="D10836" s="4"/>
      <c r="E10836" s="4"/>
      <c r="F10836" s="4"/>
    </row>
    <row r="10837" spans="1:6" x14ac:dyDescent="0.4">
      <c r="A10837" s="4"/>
      <c r="B10837" s="4"/>
      <c r="D10837" s="4"/>
      <c r="E10837" s="4"/>
      <c r="F10837" s="4"/>
    </row>
    <row r="10838" spans="1:6" x14ac:dyDescent="0.4">
      <c r="A10838" s="4"/>
      <c r="B10838" s="4"/>
      <c r="D10838" s="4"/>
      <c r="E10838" s="4"/>
      <c r="F10838" s="4"/>
    </row>
    <row r="10839" spans="1:6" x14ac:dyDescent="0.4">
      <c r="A10839" s="4"/>
      <c r="B10839" s="4"/>
      <c r="D10839" s="4"/>
      <c r="E10839" s="4"/>
      <c r="F10839" s="4"/>
    </row>
    <row r="10840" spans="1:6" x14ac:dyDescent="0.4">
      <c r="A10840" s="4"/>
      <c r="B10840" s="4"/>
      <c r="D10840" s="4"/>
      <c r="E10840" s="4"/>
      <c r="F10840" s="4"/>
    </row>
    <row r="10841" spans="1:6" x14ac:dyDescent="0.4">
      <c r="A10841" s="4"/>
      <c r="B10841" s="4"/>
      <c r="D10841" s="4"/>
      <c r="E10841" s="4"/>
      <c r="F10841" s="4"/>
    </row>
    <row r="10842" spans="1:6" x14ac:dyDescent="0.4">
      <c r="A10842" s="4"/>
      <c r="B10842" s="4"/>
      <c r="D10842" s="4"/>
      <c r="E10842" s="4"/>
      <c r="F10842" s="4"/>
    </row>
    <row r="10843" spans="1:6" x14ac:dyDescent="0.4">
      <c r="A10843" s="4"/>
      <c r="B10843" s="4"/>
      <c r="D10843" s="4"/>
      <c r="E10843" s="4"/>
      <c r="F10843" s="4"/>
    </row>
    <row r="10844" spans="1:6" x14ac:dyDescent="0.4">
      <c r="A10844" s="4"/>
      <c r="B10844" s="4"/>
      <c r="D10844" s="4"/>
      <c r="E10844" s="4"/>
      <c r="F10844" s="4"/>
    </row>
    <row r="10845" spans="1:6" x14ac:dyDescent="0.4">
      <c r="A10845" s="4"/>
      <c r="B10845" s="4"/>
      <c r="D10845" s="4"/>
      <c r="E10845" s="4"/>
      <c r="F10845" s="4"/>
    </row>
    <row r="10846" spans="1:6" x14ac:dyDescent="0.4">
      <c r="A10846" s="4"/>
      <c r="B10846" s="4"/>
      <c r="D10846" s="4"/>
      <c r="E10846" s="4"/>
      <c r="F10846" s="4"/>
    </row>
    <row r="10847" spans="1:6" x14ac:dyDescent="0.4">
      <c r="A10847" s="4"/>
      <c r="B10847" s="4"/>
      <c r="D10847" s="4"/>
      <c r="E10847" s="4"/>
      <c r="F10847" s="4"/>
    </row>
    <row r="10848" spans="1:6" x14ac:dyDescent="0.4">
      <c r="A10848" s="4"/>
      <c r="B10848" s="4"/>
      <c r="D10848" s="4"/>
      <c r="E10848" s="4"/>
      <c r="F10848" s="4"/>
    </row>
    <row r="10849" spans="1:6" x14ac:dyDescent="0.4">
      <c r="A10849" s="4"/>
      <c r="B10849" s="4"/>
      <c r="D10849" s="4"/>
      <c r="E10849" s="4"/>
      <c r="F10849" s="4"/>
    </row>
    <row r="10850" spans="1:6" x14ac:dyDescent="0.4">
      <c r="A10850" s="4"/>
      <c r="B10850" s="4"/>
      <c r="D10850" s="4"/>
      <c r="E10850" s="4"/>
      <c r="F10850" s="4"/>
    </row>
    <row r="10851" spans="1:6" x14ac:dyDescent="0.4">
      <c r="A10851" s="4"/>
      <c r="B10851" s="4"/>
      <c r="D10851" s="4"/>
      <c r="E10851" s="4"/>
      <c r="F10851" s="4"/>
    </row>
    <row r="10852" spans="1:6" x14ac:dyDescent="0.4">
      <c r="A10852" s="4"/>
      <c r="B10852" s="4"/>
      <c r="D10852" s="4"/>
      <c r="E10852" s="4"/>
      <c r="F10852" s="4"/>
    </row>
    <row r="10853" spans="1:6" x14ac:dyDescent="0.4">
      <c r="A10853" s="4"/>
      <c r="B10853" s="4"/>
      <c r="D10853" s="4"/>
      <c r="E10853" s="4"/>
      <c r="F10853" s="4"/>
    </row>
    <row r="10854" spans="1:6" x14ac:dyDescent="0.4">
      <c r="A10854" s="4"/>
      <c r="B10854" s="4"/>
      <c r="D10854" s="4"/>
      <c r="E10854" s="4"/>
      <c r="F10854" s="4"/>
    </row>
    <row r="10855" spans="1:6" x14ac:dyDescent="0.4">
      <c r="A10855" s="4"/>
      <c r="B10855" s="4"/>
      <c r="D10855" s="4"/>
      <c r="E10855" s="4"/>
      <c r="F10855" s="4"/>
    </row>
    <row r="10856" spans="1:6" x14ac:dyDescent="0.4">
      <c r="A10856" s="4"/>
      <c r="B10856" s="4"/>
      <c r="D10856" s="4"/>
      <c r="E10856" s="4"/>
      <c r="F10856" s="4"/>
    </row>
    <row r="10857" spans="1:6" x14ac:dyDescent="0.4">
      <c r="A10857" s="4"/>
      <c r="B10857" s="4"/>
      <c r="D10857" s="4"/>
      <c r="E10857" s="4"/>
      <c r="F10857" s="4"/>
    </row>
    <row r="10858" spans="1:6" x14ac:dyDescent="0.4">
      <c r="A10858" s="4"/>
      <c r="B10858" s="4"/>
      <c r="D10858" s="4"/>
      <c r="E10858" s="4"/>
      <c r="F10858" s="4"/>
    </row>
    <row r="10859" spans="1:6" x14ac:dyDescent="0.4">
      <c r="A10859" s="4"/>
      <c r="B10859" s="4"/>
      <c r="D10859" s="4"/>
      <c r="E10859" s="4"/>
      <c r="F10859" s="4"/>
    </row>
    <row r="10860" spans="1:6" x14ac:dyDescent="0.4">
      <c r="A10860" s="4"/>
      <c r="B10860" s="4"/>
      <c r="D10860" s="4"/>
      <c r="E10860" s="4"/>
      <c r="F10860" s="4"/>
    </row>
    <row r="10861" spans="1:6" x14ac:dyDescent="0.4">
      <c r="A10861" s="4"/>
      <c r="B10861" s="4"/>
      <c r="D10861" s="4"/>
      <c r="E10861" s="4"/>
      <c r="F10861" s="4"/>
    </row>
    <row r="10862" spans="1:6" x14ac:dyDescent="0.4">
      <c r="A10862" s="4"/>
      <c r="B10862" s="4"/>
      <c r="D10862" s="4"/>
      <c r="E10862" s="4"/>
      <c r="F10862" s="4"/>
    </row>
    <row r="10863" spans="1:6" x14ac:dyDescent="0.4">
      <c r="A10863" s="4"/>
      <c r="B10863" s="4"/>
      <c r="D10863" s="4"/>
      <c r="E10863" s="4"/>
      <c r="F10863" s="4"/>
    </row>
    <row r="10864" spans="1:6" x14ac:dyDescent="0.4">
      <c r="A10864" s="4"/>
      <c r="B10864" s="4"/>
      <c r="D10864" s="4"/>
      <c r="E10864" s="4"/>
      <c r="F10864" s="4"/>
    </row>
    <row r="10865" spans="1:6" x14ac:dyDescent="0.4">
      <c r="A10865" s="4"/>
      <c r="B10865" s="4"/>
      <c r="D10865" s="4"/>
      <c r="E10865" s="4"/>
      <c r="F10865" s="4"/>
    </row>
    <row r="10866" spans="1:6" x14ac:dyDescent="0.4">
      <c r="A10866" s="4"/>
      <c r="B10866" s="4"/>
      <c r="D10866" s="4"/>
      <c r="E10866" s="4"/>
      <c r="F10866" s="4"/>
    </row>
    <row r="10867" spans="1:6" x14ac:dyDescent="0.4">
      <c r="A10867" s="4"/>
      <c r="B10867" s="4"/>
      <c r="D10867" s="4"/>
      <c r="E10867" s="4"/>
      <c r="F10867" s="4"/>
    </row>
    <row r="10868" spans="1:6" x14ac:dyDescent="0.4">
      <c r="A10868" s="4"/>
      <c r="B10868" s="4"/>
      <c r="D10868" s="4"/>
      <c r="E10868" s="4"/>
      <c r="F10868" s="4"/>
    </row>
    <row r="10869" spans="1:6" x14ac:dyDescent="0.4">
      <c r="A10869" s="4"/>
      <c r="B10869" s="4"/>
      <c r="D10869" s="4"/>
      <c r="E10869" s="4"/>
      <c r="F10869" s="4"/>
    </row>
    <row r="10870" spans="1:6" x14ac:dyDescent="0.4">
      <c r="A10870" s="4"/>
      <c r="B10870" s="4"/>
      <c r="D10870" s="4"/>
      <c r="E10870" s="4"/>
      <c r="F10870" s="4"/>
    </row>
    <row r="10871" spans="1:6" x14ac:dyDescent="0.4">
      <c r="A10871" s="4"/>
      <c r="B10871" s="4"/>
      <c r="D10871" s="4"/>
      <c r="E10871" s="4"/>
      <c r="F10871" s="4"/>
    </row>
    <row r="10872" spans="1:6" x14ac:dyDescent="0.4">
      <c r="A10872" s="4"/>
      <c r="B10872" s="4"/>
      <c r="D10872" s="4"/>
      <c r="E10872" s="4"/>
      <c r="F10872" s="4"/>
    </row>
    <row r="10873" spans="1:6" x14ac:dyDescent="0.4">
      <c r="A10873" s="4"/>
      <c r="B10873" s="4"/>
      <c r="D10873" s="4"/>
      <c r="E10873" s="4"/>
      <c r="F10873" s="4"/>
    </row>
    <row r="10874" spans="1:6" x14ac:dyDescent="0.4">
      <c r="A10874" s="4"/>
      <c r="B10874" s="4"/>
      <c r="D10874" s="4"/>
      <c r="E10874" s="4"/>
      <c r="F10874" s="4"/>
    </row>
    <row r="10875" spans="1:6" x14ac:dyDescent="0.4">
      <c r="A10875" s="4"/>
      <c r="B10875" s="4"/>
      <c r="D10875" s="4"/>
      <c r="E10875" s="4"/>
      <c r="F10875" s="4"/>
    </row>
    <row r="10876" spans="1:6" x14ac:dyDescent="0.4">
      <c r="A10876" s="4"/>
      <c r="B10876" s="4"/>
      <c r="D10876" s="4"/>
      <c r="E10876" s="4"/>
      <c r="F10876" s="4"/>
    </row>
    <row r="10877" spans="1:6" x14ac:dyDescent="0.4">
      <c r="A10877" s="4"/>
      <c r="B10877" s="4"/>
      <c r="D10877" s="4"/>
      <c r="E10877" s="4"/>
      <c r="F10877" s="4"/>
    </row>
    <row r="10878" spans="1:6" x14ac:dyDescent="0.4">
      <c r="A10878" s="4"/>
      <c r="B10878" s="4"/>
      <c r="D10878" s="4"/>
      <c r="E10878" s="4"/>
      <c r="F10878" s="4"/>
    </row>
    <row r="10879" spans="1:6" x14ac:dyDescent="0.4">
      <c r="A10879" s="4"/>
      <c r="B10879" s="4"/>
      <c r="D10879" s="4"/>
      <c r="E10879" s="4"/>
      <c r="F10879" s="4"/>
    </row>
    <row r="10880" spans="1:6" x14ac:dyDescent="0.4">
      <c r="A10880" s="4"/>
      <c r="B10880" s="4"/>
      <c r="D10880" s="4"/>
      <c r="E10880" s="4"/>
      <c r="F10880" s="4"/>
    </row>
    <row r="10881" spans="1:6" x14ac:dyDescent="0.4">
      <c r="A10881" s="4"/>
      <c r="B10881" s="4"/>
      <c r="D10881" s="4"/>
      <c r="E10881" s="4"/>
      <c r="F10881" s="4"/>
    </row>
    <row r="10882" spans="1:6" x14ac:dyDescent="0.4">
      <c r="A10882" s="4"/>
      <c r="B10882" s="4"/>
      <c r="D10882" s="4"/>
      <c r="E10882" s="4"/>
      <c r="F10882" s="4"/>
    </row>
    <row r="10883" spans="1:6" x14ac:dyDescent="0.4">
      <c r="A10883" s="4"/>
      <c r="B10883" s="4"/>
      <c r="D10883" s="4"/>
      <c r="E10883" s="4"/>
      <c r="F10883" s="4"/>
    </row>
    <row r="10884" spans="1:6" x14ac:dyDescent="0.4">
      <c r="A10884" s="4"/>
      <c r="B10884" s="4"/>
      <c r="D10884" s="4"/>
      <c r="E10884" s="4"/>
      <c r="F10884" s="4"/>
    </row>
    <row r="10885" spans="1:6" x14ac:dyDescent="0.4">
      <c r="A10885" s="4"/>
      <c r="B10885" s="4"/>
      <c r="D10885" s="4"/>
      <c r="E10885" s="4"/>
      <c r="F10885" s="4"/>
    </row>
    <row r="10886" spans="1:6" x14ac:dyDescent="0.4">
      <c r="A10886" s="4"/>
      <c r="B10886" s="4"/>
      <c r="D10886" s="4"/>
      <c r="E10886" s="4"/>
      <c r="F10886" s="4"/>
    </row>
    <row r="10887" spans="1:6" x14ac:dyDescent="0.4">
      <c r="A10887" s="4"/>
      <c r="B10887" s="4"/>
      <c r="D10887" s="4"/>
      <c r="E10887" s="4"/>
      <c r="F10887" s="4"/>
    </row>
    <row r="10888" spans="1:6" x14ac:dyDescent="0.4">
      <c r="A10888" s="4"/>
      <c r="B10888" s="4"/>
      <c r="D10888" s="4"/>
      <c r="E10888" s="4"/>
      <c r="F10888" s="4"/>
    </row>
    <row r="10889" spans="1:6" x14ac:dyDescent="0.4">
      <c r="A10889" s="4"/>
      <c r="B10889" s="4"/>
      <c r="D10889" s="4"/>
      <c r="E10889" s="4"/>
      <c r="F10889" s="4"/>
    </row>
    <row r="10890" spans="1:6" x14ac:dyDescent="0.4">
      <c r="A10890" s="4"/>
      <c r="B10890" s="4"/>
      <c r="D10890" s="4"/>
      <c r="E10890" s="4"/>
      <c r="F10890" s="4"/>
    </row>
    <row r="10891" spans="1:6" x14ac:dyDescent="0.4">
      <c r="A10891" s="4"/>
      <c r="B10891" s="4"/>
      <c r="D10891" s="4"/>
      <c r="E10891" s="4"/>
      <c r="F10891" s="4"/>
    </row>
    <row r="10892" spans="1:6" x14ac:dyDescent="0.4">
      <c r="A10892" s="4"/>
      <c r="B10892" s="4"/>
      <c r="D10892" s="4"/>
      <c r="E10892" s="4"/>
      <c r="F10892" s="4"/>
    </row>
    <row r="10893" spans="1:6" x14ac:dyDescent="0.4">
      <c r="A10893" s="4"/>
      <c r="B10893" s="4"/>
      <c r="D10893" s="4"/>
      <c r="E10893" s="4"/>
      <c r="F10893" s="4"/>
    </row>
    <row r="10894" spans="1:6" x14ac:dyDescent="0.4">
      <c r="A10894" s="4"/>
      <c r="B10894" s="4"/>
      <c r="D10894" s="4"/>
      <c r="E10894" s="4"/>
      <c r="F10894" s="4"/>
    </row>
    <row r="10895" spans="1:6" x14ac:dyDescent="0.4">
      <c r="A10895" s="4"/>
      <c r="B10895" s="4"/>
      <c r="D10895" s="4"/>
      <c r="E10895" s="4"/>
      <c r="F10895" s="4"/>
    </row>
    <row r="10896" spans="1:6" x14ac:dyDescent="0.4">
      <c r="A10896" s="4"/>
      <c r="B10896" s="4"/>
      <c r="D10896" s="4"/>
      <c r="E10896" s="4"/>
      <c r="F10896" s="4"/>
    </row>
    <row r="10897" spans="1:6" x14ac:dyDescent="0.4">
      <c r="A10897" s="4"/>
      <c r="B10897" s="4"/>
      <c r="D10897" s="4"/>
      <c r="E10897" s="4"/>
      <c r="F10897" s="4"/>
    </row>
    <row r="10898" spans="1:6" x14ac:dyDescent="0.4">
      <c r="A10898" s="4"/>
      <c r="B10898" s="4"/>
      <c r="D10898" s="4"/>
      <c r="E10898" s="4"/>
      <c r="F10898" s="4"/>
    </row>
    <row r="10899" spans="1:6" x14ac:dyDescent="0.4">
      <c r="A10899" s="4"/>
      <c r="B10899" s="4"/>
      <c r="D10899" s="4"/>
      <c r="E10899" s="4"/>
      <c r="F10899" s="4"/>
    </row>
    <row r="10900" spans="1:6" x14ac:dyDescent="0.4">
      <c r="A10900" s="4"/>
      <c r="B10900" s="4"/>
      <c r="D10900" s="4"/>
      <c r="E10900" s="4"/>
      <c r="F10900" s="4"/>
    </row>
    <row r="10901" spans="1:6" x14ac:dyDescent="0.4">
      <c r="A10901" s="4"/>
      <c r="B10901" s="4"/>
      <c r="D10901" s="4"/>
      <c r="E10901" s="4"/>
      <c r="F10901" s="4"/>
    </row>
    <row r="10902" spans="1:6" x14ac:dyDescent="0.4">
      <c r="A10902" s="4"/>
      <c r="B10902" s="4"/>
      <c r="D10902" s="4"/>
      <c r="E10902" s="4"/>
      <c r="F10902" s="4"/>
    </row>
    <row r="10903" spans="1:6" x14ac:dyDescent="0.4">
      <c r="A10903" s="4"/>
      <c r="B10903" s="4"/>
      <c r="D10903" s="4"/>
      <c r="E10903" s="4"/>
      <c r="F10903" s="4"/>
    </row>
    <row r="10904" spans="1:6" x14ac:dyDescent="0.4">
      <c r="A10904" s="4"/>
      <c r="B10904" s="4"/>
      <c r="D10904" s="4"/>
      <c r="E10904" s="4"/>
      <c r="F10904" s="4"/>
    </row>
    <row r="10905" spans="1:6" x14ac:dyDescent="0.4">
      <c r="A10905" s="4"/>
      <c r="B10905" s="4"/>
      <c r="D10905" s="4"/>
      <c r="E10905" s="4"/>
      <c r="F10905" s="4"/>
    </row>
    <row r="10906" spans="1:6" x14ac:dyDescent="0.4">
      <c r="A10906" s="4"/>
      <c r="B10906" s="4"/>
      <c r="D10906" s="4"/>
      <c r="E10906" s="4"/>
      <c r="F10906" s="4"/>
    </row>
    <row r="10907" spans="1:6" x14ac:dyDescent="0.4">
      <c r="A10907" s="4"/>
      <c r="B10907" s="4"/>
      <c r="D10907" s="4"/>
      <c r="E10907" s="4"/>
      <c r="F10907" s="4"/>
    </row>
    <row r="10908" spans="1:6" x14ac:dyDescent="0.4">
      <c r="A10908" s="4"/>
      <c r="B10908" s="4"/>
      <c r="D10908" s="4"/>
      <c r="E10908" s="4"/>
      <c r="F10908" s="4"/>
    </row>
    <row r="10909" spans="1:6" x14ac:dyDescent="0.4">
      <c r="A10909" s="4"/>
      <c r="B10909" s="4"/>
      <c r="D10909" s="4"/>
      <c r="E10909" s="4"/>
      <c r="F10909" s="4"/>
    </row>
    <row r="10910" spans="1:6" x14ac:dyDescent="0.4">
      <c r="A10910" s="4"/>
      <c r="B10910" s="4"/>
      <c r="D10910" s="4"/>
      <c r="E10910" s="4"/>
      <c r="F10910" s="4"/>
    </row>
    <row r="10911" spans="1:6" x14ac:dyDescent="0.4">
      <c r="A10911" s="4"/>
      <c r="B10911" s="4"/>
      <c r="D10911" s="4"/>
      <c r="E10911" s="4"/>
      <c r="F10911" s="4"/>
    </row>
    <row r="10912" spans="1:6" x14ac:dyDescent="0.4">
      <c r="A10912" s="4"/>
      <c r="B10912" s="4"/>
      <c r="D10912" s="4"/>
      <c r="E10912" s="4"/>
      <c r="F10912" s="4"/>
    </row>
    <row r="10913" spans="1:6" x14ac:dyDescent="0.4">
      <c r="A10913" s="4"/>
      <c r="B10913" s="4"/>
      <c r="D10913" s="4"/>
      <c r="E10913" s="4"/>
      <c r="F10913" s="4"/>
    </row>
    <row r="10914" spans="1:6" x14ac:dyDescent="0.4">
      <c r="A10914" s="4"/>
      <c r="B10914" s="4"/>
      <c r="D10914" s="4"/>
      <c r="E10914" s="4"/>
      <c r="F10914" s="4"/>
    </row>
    <row r="10915" spans="1:6" x14ac:dyDescent="0.4">
      <c r="A10915" s="4"/>
      <c r="B10915" s="4"/>
      <c r="D10915" s="4"/>
      <c r="E10915" s="4"/>
      <c r="F10915" s="4"/>
    </row>
    <row r="10916" spans="1:6" x14ac:dyDescent="0.4">
      <c r="A10916" s="4"/>
      <c r="B10916" s="4"/>
      <c r="D10916" s="4"/>
      <c r="E10916" s="4"/>
      <c r="F10916" s="4"/>
    </row>
    <row r="10917" spans="1:6" x14ac:dyDescent="0.4">
      <c r="A10917" s="4"/>
      <c r="B10917" s="4"/>
      <c r="D10917" s="4"/>
      <c r="E10917" s="4"/>
      <c r="F10917" s="4"/>
    </row>
    <row r="10918" spans="1:6" x14ac:dyDescent="0.4">
      <c r="A10918" s="4"/>
      <c r="B10918" s="4"/>
      <c r="D10918" s="4"/>
      <c r="E10918" s="4"/>
      <c r="F10918" s="4"/>
    </row>
    <row r="10919" spans="1:6" x14ac:dyDescent="0.4">
      <c r="A10919" s="4"/>
      <c r="B10919" s="4"/>
      <c r="D10919" s="4"/>
      <c r="E10919" s="4"/>
      <c r="F10919" s="4"/>
    </row>
    <row r="10920" spans="1:6" x14ac:dyDescent="0.4">
      <c r="A10920" s="4"/>
      <c r="B10920" s="4"/>
      <c r="D10920" s="4"/>
      <c r="E10920" s="4"/>
      <c r="F10920" s="4"/>
    </row>
    <row r="10921" spans="1:6" x14ac:dyDescent="0.4">
      <c r="A10921" s="4"/>
      <c r="B10921" s="4"/>
      <c r="D10921" s="4"/>
      <c r="E10921" s="4"/>
      <c r="F10921" s="4"/>
    </row>
    <row r="10922" spans="1:6" x14ac:dyDescent="0.4">
      <c r="A10922" s="4"/>
      <c r="B10922" s="4"/>
      <c r="D10922" s="4"/>
      <c r="E10922" s="4"/>
      <c r="F10922" s="4"/>
    </row>
    <row r="10923" spans="1:6" x14ac:dyDescent="0.4">
      <c r="A10923" s="4"/>
      <c r="B10923" s="4"/>
      <c r="D10923" s="4"/>
      <c r="E10923" s="4"/>
      <c r="F10923" s="4"/>
    </row>
    <row r="10924" spans="1:6" x14ac:dyDescent="0.4">
      <c r="A10924" s="4"/>
      <c r="B10924" s="4"/>
      <c r="D10924" s="4"/>
      <c r="E10924" s="4"/>
      <c r="F10924" s="4"/>
    </row>
    <row r="10925" spans="1:6" x14ac:dyDescent="0.4">
      <c r="A10925" s="4"/>
      <c r="B10925" s="4"/>
      <c r="D10925" s="4"/>
      <c r="E10925" s="4"/>
      <c r="F10925" s="4"/>
    </row>
    <row r="10926" spans="1:6" x14ac:dyDescent="0.4">
      <c r="A10926" s="4"/>
      <c r="B10926" s="4"/>
      <c r="D10926" s="4"/>
      <c r="E10926" s="4"/>
      <c r="F10926" s="4"/>
    </row>
    <row r="10927" spans="1:6" x14ac:dyDescent="0.4">
      <c r="A10927" s="4"/>
      <c r="B10927" s="4"/>
      <c r="D10927" s="4"/>
      <c r="E10927" s="4"/>
      <c r="F10927" s="4"/>
    </row>
    <row r="10928" spans="1:6" x14ac:dyDescent="0.4">
      <c r="A10928" s="4"/>
      <c r="B10928" s="4"/>
      <c r="D10928" s="4"/>
      <c r="E10928" s="4"/>
      <c r="F10928" s="4"/>
    </row>
    <row r="10929" spans="1:6" x14ac:dyDescent="0.4">
      <c r="A10929" s="4"/>
      <c r="B10929" s="4"/>
      <c r="D10929" s="4"/>
      <c r="E10929" s="4"/>
      <c r="F10929" s="4"/>
    </row>
    <row r="10930" spans="1:6" x14ac:dyDescent="0.4">
      <c r="A10930" s="4"/>
      <c r="B10930" s="4"/>
      <c r="D10930" s="4"/>
      <c r="E10930" s="4"/>
      <c r="F10930" s="4"/>
    </row>
    <row r="10931" spans="1:6" x14ac:dyDescent="0.4">
      <c r="A10931" s="4"/>
      <c r="B10931" s="4"/>
      <c r="D10931" s="4"/>
      <c r="E10931" s="4"/>
      <c r="F10931" s="4"/>
    </row>
    <row r="10932" spans="1:6" x14ac:dyDescent="0.4">
      <c r="A10932" s="4"/>
      <c r="B10932" s="4"/>
      <c r="D10932" s="4"/>
      <c r="E10932" s="4"/>
      <c r="F10932" s="4"/>
    </row>
    <row r="10933" spans="1:6" x14ac:dyDescent="0.4">
      <c r="A10933" s="4"/>
      <c r="B10933" s="4"/>
      <c r="D10933" s="4"/>
      <c r="E10933" s="4"/>
      <c r="F10933" s="4"/>
    </row>
    <row r="10934" spans="1:6" x14ac:dyDescent="0.4">
      <c r="A10934" s="4"/>
      <c r="B10934" s="4"/>
      <c r="D10934" s="4"/>
      <c r="E10934" s="4"/>
      <c r="F10934" s="4"/>
    </row>
    <row r="10935" spans="1:6" x14ac:dyDescent="0.4">
      <c r="A10935" s="4"/>
      <c r="B10935" s="4"/>
      <c r="D10935" s="4"/>
      <c r="E10935" s="4"/>
      <c r="F10935" s="4"/>
    </row>
    <row r="10936" spans="1:6" x14ac:dyDescent="0.4">
      <c r="A10936" s="4"/>
      <c r="B10936" s="4"/>
      <c r="D10936" s="4"/>
      <c r="E10936" s="4"/>
      <c r="F10936" s="4"/>
    </row>
    <row r="10937" spans="1:6" x14ac:dyDescent="0.4">
      <c r="A10937" s="4"/>
      <c r="B10937" s="4"/>
      <c r="D10937" s="4"/>
      <c r="E10937" s="4"/>
      <c r="F10937" s="4"/>
    </row>
    <row r="10938" spans="1:6" x14ac:dyDescent="0.4">
      <c r="A10938" s="4"/>
      <c r="B10938" s="4"/>
      <c r="D10938" s="4"/>
      <c r="E10938" s="4"/>
      <c r="F10938" s="4"/>
    </row>
    <row r="10939" spans="1:6" x14ac:dyDescent="0.4">
      <c r="A10939" s="4"/>
      <c r="B10939" s="4"/>
      <c r="D10939" s="4"/>
      <c r="E10939" s="4"/>
      <c r="F10939" s="4"/>
    </row>
    <row r="10940" spans="1:6" x14ac:dyDescent="0.4">
      <c r="A10940" s="4"/>
      <c r="B10940" s="4"/>
      <c r="D10940" s="4"/>
      <c r="E10940" s="4"/>
      <c r="F10940" s="4"/>
    </row>
    <row r="10941" spans="1:6" x14ac:dyDescent="0.4">
      <c r="A10941" s="4"/>
      <c r="B10941" s="4"/>
      <c r="D10941" s="4"/>
      <c r="E10941" s="4"/>
      <c r="F10941" s="4"/>
    </row>
    <row r="10942" spans="1:6" x14ac:dyDescent="0.4">
      <c r="A10942" s="4"/>
      <c r="B10942" s="4"/>
      <c r="D10942" s="4"/>
      <c r="E10942" s="4"/>
      <c r="F10942" s="4"/>
    </row>
    <row r="10943" spans="1:6" x14ac:dyDescent="0.4">
      <c r="A10943" s="4"/>
      <c r="B10943" s="4"/>
      <c r="D10943" s="4"/>
      <c r="E10943" s="4"/>
      <c r="F10943" s="4"/>
    </row>
    <row r="10944" spans="1:6" x14ac:dyDescent="0.4">
      <c r="A10944" s="4"/>
      <c r="B10944" s="4"/>
      <c r="D10944" s="4"/>
      <c r="E10944" s="4"/>
      <c r="F10944" s="4"/>
    </row>
    <row r="10945" spans="1:6" x14ac:dyDescent="0.4">
      <c r="A10945" s="4"/>
      <c r="B10945" s="4"/>
      <c r="D10945" s="4"/>
      <c r="E10945" s="4"/>
      <c r="F10945" s="4"/>
    </row>
    <row r="10946" spans="1:6" x14ac:dyDescent="0.4">
      <c r="A10946" s="4"/>
      <c r="B10946" s="4"/>
      <c r="D10946" s="4"/>
      <c r="E10946" s="4"/>
      <c r="F10946" s="4"/>
    </row>
    <row r="10947" spans="1:6" x14ac:dyDescent="0.4">
      <c r="A10947" s="4"/>
      <c r="B10947" s="4"/>
      <c r="D10947" s="4"/>
      <c r="E10947" s="4"/>
      <c r="F10947" s="4"/>
    </row>
    <row r="10948" spans="1:6" x14ac:dyDescent="0.4">
      <c r="A10948" s="4"/>
      <c r="B10948" s="4"/>
      <c r="D10948" s="4"/>
      <c r="E10948" s="4"/>
      <c r="F10948" s="4"/>
    </row>
    <row r="10949" spans="1:6" x14ac:dyDescent="0.4">
      <c r="A10949" s="4"/>
      <c r="B10949" s="4"/>
      <c r="D10949" s="4"/>
      <c r="E10949" s="4"/>
      <c r="F10949" s="4"/>
    </row>
    <row r="10950" spans="1:6" x14ac:dyDescent="0.4">
      <c r="A10950" s="4"/>
      <c r="B10950" s="4"/>
      <c r="D10950" s="4"/>
      <c r="E10950" s="4"/>
      <c r="F10950" s="4"/>
    </row>
    <row r="10951" spans="1:6" x14ac:dyDescent="0.4">
      <c r="A10951" s="4"/>
      <c r="B10951" s="4"/>
      <c r="D10951" s="4"/>
      <c r="E10951" s="4"/>
      <c r="F10951" s="4"/>
    </row>
    <row r="10952" spans="1:6" x14ac:dyDescent="0.4">
      <c r="A10952" s="4"/>
      <c r="B10952" s="4"/>
      <c r="D10952" s="4"/>
      <c r="E10952" s="4"/>
      <c r="F10952" s="4"/>
    </row>
    <row r="10953" spans="1:6" x14ac:dyDescent="0.4">
      <c r="A10953" s="4"/>
      <c r="B10953" s="4"/>
      <c r="D10953" s="4"/>
      <c r="E10953" s="4"/>
      <c r="F10953" s="4"/>
    </row>
    <row r="10954" spans="1:6" x14ac:dyDescent="0.4">
      <c r="A10954" s="4"/>
      <c r="B10954" s="4"/>
      <c r="D10954" s="4"/>
      <c r="E10954" s="4"/>
      <c r="F10954" s="4"/>
    </row>
    <row r="10955" spans="1:6" x14ac:dyDescent="0.4">
      <c r="A10955" s="4"/>
      <c r="B10955" s="4"/>
      <c r="D10955" s="4"/>
      <c r="E10955" s="4"/>
      <c r="F10955" s="4"/>
    </row>
    <row r="10956" spans="1:6" x14ac:dyDescent="0.4">
      <c r="A10956" s="4"/>
      <c r="B10956" s="4"/>
      <c r="D10956" s="4"/>
      <c r="E10956" s="4"/>
      <c r="F10956" s="4"/>
    </row>
    <row r="10957" spans="1:6" x14ac:dyDescent="0.4">
      <c r="A10957" s="4"/>
      <c r="B10957" s="4"/>
      <c r="D10957" s="4"/>
      <c r="E10957" s="4"/>
      <c r="F10957" s="4"/>
    </row>
    <row r="10958" spans="1:6" x14ac:dyDescent="0.4">
      <c r="A10958" s="4"/>
      <c r="B10958" s="4"/>
      <c r="D10958" s="4"/>
      <c r="E10958" s="4"/>
      <c r="F10958" s="4"/>
    </row>
    <row r="10959" spans="1:6" x14ac:dyDescent="0.4">
      <c r="A10959" s="4"/>
      <c r="B10959" s="4"/>
      <c r="D10959" s="4"/>
      <c r="E10959" s="4"/>
      <c r="F10959" s="4"/>
    </row>
    <row r="10960" spans="1:6" x14ac:dyDescent="0.4">
      <c r="A10960" s="4"/>
      <c r="B10960" s="4"/>
      <c r="D10960" s="4"/>
      <c r="E10960" s="4"/>
      <c r="F10960" s="4"/>
    </row>
    <row r="10961" spans="1:6" x14ac:dyDescent="0.4">
      <c r="A10961" s="4"/>
      <c r="B10961" s="4"/>
      <c r="D10961" s="4"/>
      <c r="E10961" s="4"/>
      <c r="F10961" s="4"/>
    </row>
    <row r="10962" spans="1:6" x14ac:dyDescent="0.4">
      <c r="A10962" s="4"/>
      <c r="B10962" s="4"/>
      <c r="D10962" s="4"/>
      <c r="E10962" s="4"/>
      <c r="F10962" s="4"/>
    </row>
    <row r="10963" spans="1:6" x14ac:dyDescent="0.4">
      <c r="A10963" s="4"/>
      <c r="B10963" s="4"/>
      <c r="D10963" s="4"/>
      <c r="E10963" s="4"/>
      <c r="F10963" s="4"/>
    </row>
    <row r="10964" spans="1:6" x14ac:dyDescent="0.4">
      <c r="A10964" s="4"/>
      <c r="B10964" s="4"/>
      <c r="D10964" s="4"/>
      <c r="E10964" s="4"/>
      <c r="F10964" s="4"/>
    </row>
    <row r="10965" spans="1:6" x14ac:dyDescent="0.4">
      <c r="A10965" s="4"/>
      <c r="B10965" s="4"/>
      <c r="D10965" s="4"/>
      <c r="E10965" s="4"/>
      <c r="F10965" s="4"/>
    </row>
    <row r="10966" spans="1:6" x14ac:dyDescent="0.4">
      <c r="A10966" s="4"/>
      <c r="B10966" s="4"/>
      <c r="D10966" s="4"/>
      <c r="E10966" s="4"/>
      <c r="F10966" s="4"/>
    </row>
    <row r="10967" spans="1:6" x14ac:dyDescent="0.4">
      <c r="A10967" s="4"/>
      <c r="B10967" s="4"/>
      <c r="D10967" s="4"/>
      <c r="E10967" s="4"/>
      <c r="F10967" s="4"/>
    </row>
    <row r="10968" spans="1:6" x14ac:dyDescent="0.4">
      <c r="A10968" s="4"/>
      <c r="B10968" s="4"/>
      <c r="D10968" s="4"/>
      <c r="E10968" s="4"/>
      <c r="F10968" s="4"/>
    </row>
    <row r="10969" spans="1:6" x14ac:dyDescent="0.4">
      <c r="A10969" s="4"/>
      <c r="B10969" s="4"/>
      <c r="D10969" s="4"/>
      <c r="E10969" s="4"/>
      <c r="F10969" s="4"/>
    </row>
    <row r="10970" spans="1:6" x14ac:dyDescent="0.4">
      <c r="A10970" s="4"/>
      <c r="B10970" s="4"/>
      <c r="D10970" s="4"/>
      <c r="E10970" s="4"/>
      <c r="F10970" s="4"/>
    </row>
    <row r="10971" spans="1:6" x14ac:dyDescent="0.4">
      <c r="A10971" s="4"/>
      <c r="B10971" s="4"/>
      <c r="D10971" s="4"/>
      <c r="E10971" s="4"/>
      <c r="F10971" s="4"/>
    </row>
    <row r="10972" spans="1:6" x14ac:dyDescent="0.4">
      <c r="A10972" s="4"/>
      <c r="B10972" s="4"/>
      <c r="D10972" s="4"/>
      <c r="E10972" s="4"/>
      <c r="F10972" s="4"/>
    </row>
    <row r="10973" spans="1:6" x14ac:dyDescent="0.4">
      <c r="A10973" s="4"/>
      <c r="B10973" s="4"/>
      <c r="D10973" s="4"/>
      <c r="E10973" s="4"/>
      <c r="F10973" s="4"/>
    </row>
    <row r="10974" spans="1:6" x14ac:dyDescent="0.4">
      <c r="A10974" s="4"/>
      <c r="B10974" s="4"/>
      <c r="D10974" s="4"/>
      <c r="E10974" s="4"/>
      <c r="F10974" s="4"/>
    </row>
    <row r="10975" spans="1:6" x14ac:dyDescent="0.4">
      <c r="A10975" s="4"/>
      <c r="B10975" s="4"/>
      <c r="D10975" s="4"/>
      <c r="E10975" s="4"/>
      <c r="F10975" s="4"/>
    </row>
    <row r="10976" spans="1:6" x14ac:dyDescent="0.4">
      <c r="A10976" s="4"/>
      <c r="B10976" s="4"/>
      <c r="D10976" s="4"/>
      <c r="E10976" s="4"/>
      <c r="F10976" s="4"/>
    </row>
    <row r="10977" spans="1:6" x14ac:dyDescent="0.4">
      <c r="A10977" s="4"/>
      <c r="B10977" s="4"/>
      <c r="D10977" s="4"/>
      <c r="E10977" s="4"/>
      <c r="F10977" s="4"/>
    </row>
    <row r="10978" spans="1:6" x14ac:dyDescent="0.4">
      <c r="A10978" s="4"/>
      <c r="B10978" s="4"/>
      <c r="D10978" s="4"/>
      <c r="E10978" s="4"/>
      <c r="F10978" s="4"/>
    </row>
    <row r="10979" spans="1:6" x14ac:dyDescent="0.4">
      <c r="A10979" s="4"/>
      <c r="B10979" s="4"/>
      <c r="D10979" s="4"/>
      <c r="E10979" s="4"/>
      <c r="F10979" s="4"/>
    </row>
    <row r="10980" spans="1:6" x14ac:dyDescent="0.4">
      <c r="A10980" s="4"/>
      <c r="B10980" s="4"/>
      <c r="D10980" s="4"/>
      <c r="E10980" s="4"/>
      <c r="F10980" s="4"/>
    </row>
    <row r="10981" spans="1:6" x14ac:dyDescent="0.4">
      <c r="A10981" s="4"/>
      <c r="B10981" s="4"/>
      <c r="D10981" s="4"/>
      <c r="E10981" s="4"/>
      <c r="F10981" s="4"/>
    </row>
    <row r="10982" spans="1:6" x14ac:dyDescent="0.4">
      <c r="A10982" s="4"/>
      <c r="B10982" s="4"/>
      <c r="D10982" s="4"/>
      <c r="E10982" s="4"/>
      <c r="F10982" s="4"/>
    </row>
    <row r="10983" spans="1:6" x14ac:dyDescent="0.4">
      <c r="A10983" s="4"/>
      <c r="B10983" s="4"/>
      <c r="D10983" s="4"/>
      <c r="E10983" s="4"/>
      <c r="F10983" s="4"/>
    </row>
    <row r="10984" spans="1:6" x14ac:dyDescent="0.4">
      <c r="A10984" s="4"/>
      <c r="B10984" s="4"/>
      <c r="D10984" s="4"/>
      <c r="E10984" s="4"/>
      <c r="F10984" s="4"/>
    </row>
    <row r="10985" spans="1:6" x14ac:dyDescent="0.4">
      <c r="A10985" s="4"/>
      <c r="B10985" s="4"/>
      <c r="D10985" s="4"/>
      <c r="E10985" s="4"/>
      <c r="F10985" s="4"/>
    </row>
    <row r="10986" spans="1:6" x14ac:dyDescent="0.4">
      <c r="A10986" s="4"/>
      <c r="B10986" s="4"/>
      <c r="D10986" s="4"/>
      <c r="E10986" s="4"/>
      <c r="F10986" s="4"/>
    </row>
    <row r="10987" spans="1:6" x14ac:dyDescent="0.4">
      <c r="A10987" s="4"/>
      <c r="B10987" s="4"/>
      <c r="D10987" s="4"/>
      <c r="E10987" s="4"/>
      <c r="F10987" s="4"/>
    </row>
    <row r="10988" spans="1:6" x14ac:dyDescent="0.4">
      <c r="A10988" s="4"/>
      <c r="B10988" s="4"/>
      <c r="D10988" s="4"/>
      <c r="E10988" s="4"/>
      <c r="F10988" s="4"/>
    </row>
    <row r="10989" spans="1:6" x14ac:dyDescent="0.4">
      <c r="A10989" s="4"/>
      <c r="B10989" s="4"/>
      <c r="D10989" s="4"/>
      <c r="E10989" s="4"/>
      <c r="F10989" s="4"/>
    </row>
    <row r="10990" spans="1:6" x14ac:dyDescent="0.4">
      <c r="A10990" s="4"/>
      <c r="B10990" s="4"/>
      <c r="D10990" s="4"/>
      <c r="E10990" s="4"/>
      <c r="F10990" s="4"/>
    </row>
    <row r="10991" spans="1:6" x14ac:dyDescent="0.4">
      <c r="A10991" s="4"/>
      <c r="B10991" s="4"/>
      <c r="D10991" s="4"/>
      <c r="E10991" s="4"/>
      <c r="F10991" s="4"/>
    </row>
    <row r="10992" spans="1:6" x14ac:dyDescent="0.4">
      <c r="A10992" s="4"/>
      <c r="B10992" s="4"/>
      <c r="D10992" s="4"/>
      <c r="E10992" s="4"/>
      <c r="F10992" s="4"/>
    </row>
    <row r="10993" spans="1:6" x14ac:dyDescent="0.4">
      <c r="A10993" s="4"/>
      <c r="B10993" s="4"/>
      <c r="D10993" s="4"/>
      <c r="E10993" s="4"/>
      <c r="F10993" s="4"/>
    </row>
    <row r="10994" spans="1:6" x14ac:dyDescent="0.4">
      <c r="A10994" s="4"/>
      <c r="B10994" s="4"/>
      <c r="D10994" s="4"/>
      <c r="E10994" s="4"/>
      <c r="F10994" s="4"/>
    </row>
    <row r="10995" spans="1:6" x14ac:dyDescent="0.4">
      <c r="A10995" s="4"/>
      <c r="B10995" s="4"/>
      <c r="D10995" s="4"/>
      <c r="E10995" s="4"/>
      <c r="F10995" s="4"/>
    </row>
    <row r="10996" spans="1:6" x14ac:dyDescent="0.4">
      <c r="A10996" s="4"/>
      <c r="B10996" s="4"/>
      <c r="D10996" s="4"/>
      <c r="E10996" s="4"/>
      <c r="F10996" s="4"/>
    </row>
    <row r="10997" spans="1:6" x14ac:dyDescent="0.4">
      <c r="A10997" s="4"/>
      <c r="B10997" s="4"/>
      <c r="D10997" s="4"/>
      <c r="E10997" s="4"/>
      <c r="F10997" s="4"/>
    </row>
    <row r="10998" spans="1:6" x14ac:dyDescent="0.4">
      <c r="A10998" s="4"/>
      <c r="B10998" s="4"/>
      <c r="D10998" s="4"/>
      <c r="E10998" s="4"/>
      <c r="F10998" s="4"/>
    </row>
    <row r="10999" spans="1:6" x14ac:dyDescent="0.4">
      <c r="A10999" s="4"/>
      <c r="B10999" s="4"/>
      <c r="D10999" s="4"/>
      <c r="E10999" s="4"/>
      <c r="F10999" s="4"/>
    </row>
    <row r="11000" spans="1:6" x14ac:dyDescent="0.4">
      <c r="A11000" s="4"/>
      <c r="B11000" s="4"/>
      <c r="D11000" s="4"/>
      <c r="E11000" s="4"/>
      <c r="F11000" s="4"/>
    </row>
    <row r="11001" spans="1:6" x14ac:dyDescent="0.4">
      <c r="A11001" s="4"/>
      <c r="B11001" s="4"/>
      <c r="D11001" s="4"/>
      <c r="E11001" s="4"/>
      <c r="F11001" s="4"/>
    </row>
    <row r="11002" spans="1:6" x14ac:dyDescent="0.4">
      <c r="A11002" s="4"/>
      <c r="B11002" s="4"/>
      <c r="D11002" s="4"/>
      <c r="E11002" s="4"/>
      <c r="F11002" s="4"/>
    </row>
    <row r="11003" spans="1:6" x14ac:dyDescent="0.4">
      <c r="A11003" s="4"/>
      <c r="B11003" s="4"/>
      <c r="D11003" s="4"/>
      <c r="E11003" s="4"/>
      <c r="F11003" s="4"/>
    </row>
    <row r="11004" spans="1:6" x14ac:dyDescent="0.4">
      <c r="A11004" s="4"/>
      <c r="B11004" s="4"/>
      <c r="D11004" s="4"/>
      <c r="E11004" s="4"/>
      <c r="F11004" s="4"/>
    </row>
    <row r="11005" spans="1:6" x14ac:dyDescent="0.4">
      <c r="A11005" s="4"/>
      <c r="B11005" s="4"/>
      <c r="D11005" s="4"/>
      <c r="E11005" s="4"/>
      <c r="F11005" s="4"/>
    </row>
    <row r="11006" spans="1:6" x14ac:dyDescent="0.4">
      <c r="A11006" s="4"/>
      <c r="B11006" s="4"/>
      <c r="D11006" s="4"/>
      <c r="E11006" s="4"/>
      <c r="F11006" s="4"/>
    </row>
    <row r="11007" spans="1:6" x14ac:dyDescent="0.4">
      <c r="A11007" s="4"/>
      <c r="B11007" s="4"/>
      <c r="D11007" s="4"/>
      <c r="E11007" s="4"/>
      <c r="F11007" s="4"/>
    </row>
    <row r="11008" spans="1:6" x14ac:dyDescent="0.4">
      <c r="A11008" s="4"/>
      <c r="B11008" s="4"/>
      <c r="D11008" s="4"/>
      <c r="E11008" s="4"/>
      <c r="F11008" s="4"/>
    </row>
    <row r="11009" spans="1:6" x14ac:dyDescent="0.4">
      <c r="A11009" s="4"/>
      <c r="B11009" s="4"/>
      <c r="D11009" s="4"/>
      <c r="E11009" s="4"/>
      <c r="F11009" s="4"/>
    </row>
    <row r="11010" spans="1:6" x14ac:dyDescent="0.4">
      <c r="A11010" s="4"/>
      <c r="B11010" s="4"/>
      <c r="D11010" s="4"/>
      <c r="E11010" s="4"/>
      <c r="F11010" s="4"/>
    </row>
    <row r="11011" spans="1:6" x14ac:dyDescent="0.4">
      <c r="A11011" s="4"/>
      <c r="B11011" s="4"/>
      <c r="D11011" s="4"/>
      <c r="E11011" s="4"/>
      <c r="F11011" s="4"/>
    </row>
    <row r="11012" spans="1:6" x14ac:dyDescent="0.4">
      <c r="A11012" s="4"/>
      <c r="B11012" s="4"/>
      <c r="D11012" s="4"/>
      <c r="E11012" s="4"/>
      <c r="F11012" s="4"/>
    </row>
    <row r="11013" spans="1:6" x14ac:dyDescent="0.4">
      <c r="A11013" s="4"/>
      <c r="B11013" s="4"/>
      <c r="D11013" s="4"/>
      <c r="E11013" s="4"/>
      <c r="F11013" s="4"/>
    </row>
    <row r="11014" spans="1:6" x14ac:dyDescent="0.4">
      <c r="A11014" s="4"/>
      <c r="B11014" s="4"/>
      <c r="D11014" s="4"/>
      <c r="E11014" s="4"/>
      <c r="F11014" s="4"/>
    </row>
    <row r="11015" spans="1:6" x14ac:dyDescent="0.4">
      <c r="A11015" s="4"/>
      <c r="B11015" s="4"/>
      <c r="D11015" s="4"/>
      <c r="E11015" s="4"/>
      <c r="F11015" s="4"/>
    </row>
    <row r="11016" spans="1:6" x14ac:dyDescent="0.4">
      <c r="A11016" s="4"/>
      <c r="B11016" s="4"/>
      <c r="D11016" s="4"/>
      <c r="E11016" s="4"/>
      <c r="F11016" s="4"/>
    </row>
    <row r="11017" spans="1:6" x14ac:dyDescent="0.4">
      <c r="A11017" s="4"/>
      <c r="B11017" s="4"/>
      <c r="D11017" s="4"/>
      <c r="E11017" s="4"/>
      <c r="F11017" s="4"/>
    </row>
    <row r="11018" spans="1:6" x14ac:dyDescent="0.4">
      <c r="A11018" s="4"/>
      <c r="B11018" s="4"/>
      <c r="D11018" s="4"/>
      <c r="E11018" s="4"/>
      <c r="F11018" s="4"/>
    </row>
    <row r="11019" spans="1:6" x14ac:dyDescent="0.4">
      <c r="A11019" s="4"/>
      <c r="B11019" s="4"/>
      <c r="D11019" s="4"/>
      <c r="E11019" s="4"/>
      <c r="F11019" s="4"/>
    </row>
    <row r="11020" spans="1:6" x14ac:dyDescent="0.4">
      <c r="A11020" s="4"/>
      <c r="B11020" s="4"/>
      <c r="D11020" s="4"/>
      <c r="E11020" s="4"/>
      <c r="F11020" s="4"/>
    </row>
    <row r="11021" spans="1:6" x14ac:dyDescent="0.4">
      <c r="A11021" s="4"/>
      <c r="B11021" s="4"/>
      <c r="D11021" s="4"/>
      <c r="E11021" s="4"/>
      <c r="F11021" s="4"/>
    </row>
    <row r="11022" spans="1:6" x14ac:dyDescent="0.4">
      <c r="A11022" s="4"/>
      <c r="B11022" s="4"/>
      <c r="D11022" s="4"/>
      <c r="E11022" s="4"/>
      <c r="F11022" s="4"/>
    </row>
    <row r="11023" spans="1:6" x14ac:dyDescent="0.4">
      <c r="A11023" s="4"/>
      <c r="B11023" s="4"/>
      <c r="D11023" s="4"/>
      <c r="E11023" s="4"/>
      <c r="F11023" s="4"/>
    </row>
    <row r="11024" spans="1:6" x14ac:dyDescent="0.4">
      <c r="A11024" s="4"/>
      <c r="B11024" s="4"/>
      <c r="D11024" s="4"/>
      <c r="E11024" s="4"/>
      <c r="F11024" s="4"/>
    </row>
    <row r="11025" spans="1:6" x14ac:dyDescent="0.4">
      <c r="A11025" s="4"/>
      <c r="B11025" s="4"/>
      <c r="D11025" s="4"/>
      <c r="E11025" s="4"/>
      <c r="F11025" s="4"/>
    </row>
    <row r="11026" spans="1:6" x14ac:dyDescent="0.4">
      <c r="A11026" s="4"/>
      <c r="B11026" s="4"/>
      <c r="D11026" s="4"/>
      <c r="E11026" s="4"/>
      <c r="F11026" s="4"/>
    </row>
    <row r="11027" spans="1:6" x14ac:dyDescent="0.4">
      <c r="A11027" s="4"/>
      <c r="B11027" s="4"/>
      <c r="D11027" s="4"/>
      <c r="E11027" s="4"/>
      <c r="F11027" s="4"/>
    </row>
    <row r="11028" spans="1:6" x14ac:dyDescent="0.4">
      <c r="A11028" s="4"/>
      <c r="B11028" s="4"/>
      <c r="D11028" s="4"/>
      <c r="E11028" s="4"/>
      <c r="F11028" s="4"/>
    </row>
    <row r="11029" spans="1:6" x14ac:dyDescent="0.4">
      <c r="A11029" s="4"/>
      <c r="B11029" s="4"/>
      <c r="D11029" s="4"/>
      <c r="E11029" s="4"/>
      <c r="F11029" s="4"/>
    </row>
    <row r="11030" spans="1:6" x14ac:dyDescent="0.4">
      <c r="A11030" s="4"/>
      <c r="B11030" s="4"/>
      <c r="D11030" s="4"/>
      <c r="E11030" s="4"/>
      <c r="F11030" s="4"/>
    </row>
    <row r="11031" spans="1:6" x14ac:dyDescent="0.4">
      <c r="A11031" s="4"/>
      <c r="B11031" s="4"/>
      <c r="D11031" s="4"/>
      <c r="E11031" s="4"/>
      <c r="F11031" s="4"/>
    </row>
    <row r="11032" spans="1:6" x14ac:dyDescent="0.4">
      <c r="A11032" s="4"/>
      <c r="B11032" s="4"/>
      <c r="D11032" s="4"/>
      <c r="E11032" s="4"/>
      <c r="F11032" s="4"/>
    </row>
    <row r="11033" spans="1:6" x14ac:dyDescent="0.4">
      <c r="A11033" s="4"/>
      <c r="B11033" s="4"/>
      <c r="D11033" s="4"/>
      <c r="E11033" s="4"/>
      <c r="F11033" s="4"/>
    </row>
    <row r="11034" spans="1:6" x14ac:dyDescent="0.4">
      <c r="A11034" s="4"/>
      <c r="B11034" s="4"/>
      <c r="D11034" s="4"/>
      <c r="E11034" s="4"/>
      <c r="F11034" s="4"/>
    </row>
    <row r="11035" spans="1:6" x14ac:dyDescent="0.4">
      <c r="A11035" s="4"/>
      <c r="B11035" s="4"/>
      <c r="D11035" s="4"/>
      <c r="E11035" s="4"/>
      <c r="F11035" s="4"/>
    </row>
    <row r="11036" spans="1:6" x14ac:dyDescent="0.4">
      <c r="A11036" s="4"/>
      <c r="B11036" s="4"/>
      <c r="D11036" s="4"/>
      <c r="E11036" s="4"/>
      <c r="F11036" s="4"/>
    </row>
    <row r="11037" spans="1:6" x14ac:dyDescent="0.4">
      <c r="A11037" s="4"/>
      <c r="B11037" s="4"/>
      <c r="D11037" s="4"/>
      <c r="E11037" s="4"/>
      <c r="F11037" s="4"/>
    </row>
    <row r="11038" spans="1:6" x14ac:dyDescent="0.4">
      <c r="A11038" s="4"/>
      <c r="B11038" s="4"/>
      <c r="D11038" s="4"/>
      <c r="E11038" s="4"/>
      <c r="F11038" s="4"/>
    </row>
    <row r="11039" spans="1:6" x14ac:dyDescent="0.4">
      <c r="A11039" s="4"/>
      <c r="B11039" s="4"/>
      <c r="D11039" s="4"/>
      <c r="E11039" s="4"/>
      <c r="F11039" s="4"/>
    </row>
    <row r="11040" spans="1:6" x14ac:dyDescent="0.4">
      <c r="A11040" s="4"/>
      <c r="B11040" s="4"/>
      <c r="D11040" s="4"/>
      <c r="E11040" s="4"/>
      <c r="F11040" s="4"/>
    </row>
    <row r="11041" spans="1:6" x14ac:dyDescent="0.4">
      <c r="A11041" s="4"/>
      <c r="B11041" s="4"/>
      <c r="D11041" s="4"/>
      <c r="E11041" s="4"/>
      <c r="F11041" s="4"/>
    </row>
    <row r="11042" spans="1:6" x14ac:dyDescent="0.4">
      <c r="A11042" s="4"/>
      <c r="B11042" s="4"/>
      <c r="D11042" s="4"/>
      <c r="E11042" s="4"/>
      <c r="F11042" s="4"/>
    </row>
    <row r="11043" spans="1:6" x14ac:dyDescent="0.4">
      <c r="A11043" s="4"/>
      <c r="B11043" s="4"/>
      <c r="D11043" s="4"/>
      <c r="E11043" s="4"/>
      <c r="F11043" s="4"/>
    </row>
    <row r="11044" spans="1:6" x14ac:dyDescent="0.4">
      <c r="A11044" s="4"/>
      <c r="B11044" s="4"/>
      <c r="D11044" s="4"/>
      <c r="E11044" s="4"/>
      <c r="F11044" s="4"/>
    </row>
    <row r="11045" spans="1:6" x14ac:dyDescent="0.4">
      <c r="A11045" s="4"/>
      <c r="B11045" s="4"/>
      <c r="D11045" s="4"/>
      <c r="E11045" s="4"/>
      <c r="F11045" s="4"/>
    </row>
    <row r="11046" spans="1:6" x14ac:dyDescent="0.4">
      <c r="A11046" s="4"/>
      <c r="B11046" s="4"/>
      <c r="D11046" s="4"/>
      <c r="E11046" s="4"/>
      <c r="F11046" s="4"/>
    </row>
    <row r="11047" spans="1:6" x14ac:dyDescent="0.4">
      <c r="A11047" s="4"/>
      <c r="B11047" s="4"/>
      <c r="D11047" s="4"/>
      <c r="E11047" s="4"/>
      <c r="F11047" s="4"/>
    </row>
    <row r="11048" spans="1:6" x14ac:dyDescent="0.4">
      <c r="A11048" s="4"/>
      <c r="B11048" s="4"/>
      <c r="D11048" s="4"/>
      <c r="E11048" s="4"/>
      <c r="F11048" s="4"/>
    </row>
    <row r="11049" spans="1:6" x14ac:dyDescent="0.4">
      <c r="A11049" s="4"/>
      <c r="B11049" s="4"/>
      <c r="D11049" s="4"/>
      <c r="E11049" s="4"/>
      <c r="F11049" s="4"/>
    </row>
    <row r="11050" spans="1:6" x14ac:dyDescent="0.4">
      <c r="A11050" s="4"/>
      <c r="B11050" s="4"/>
      <c r="D11050" s="4"/>
      <c r="E11050" s="4"/>
      <c r="F11050" s="4"/>
    </row>
    <row r="11051" spans="1:6" x14ac:dyDescent="0.4">
      <c r="A11051" s="4"/>
      <c r="B11051" s="4"/>
      <c r="D11051" s="4"/>
      <c r="E11051" s="4"/>
      <c r="F11051" s="4"/>
    </row>
    <row r="11052" spans="1:6" x14ac:dyDescent="0.4">
      <c r="A11052" s="4"/>
      <c r="B11052" s="4"/>
      <c r="D11052" s="4"/>
      <c r="E11052" s="4"/>
      <c r="F11052" s="4"/>
    </row>
    <row r="11053" spans="1:6" x14ac:dyDescent="0.4">
      <c r="A11053" s="4"/>
      <c r="B11053" s="4"/>
      <c r="D11053" s="4"/>
      <c r="E11053" s="4"/>
      <c r="F11053" s="4"/>
    </row>
    <row r="11054" spans="1:6" x14ac:dyDescent="0.4">
      <c r="A11054" s="4"/>
      <c r="B11054" s="4"/>
      <c r="D11054" s="4"/>
      <c r="E11054" s="4"/>
      <c r="F11054" s="4"/>
    </row>
    <row r="11055" spans="1:6" x14ac:dyDescent="0.4">
      <c r="A11055" s="4"/>
      <c r="B11055" s="4"/>
      <c r="D11055" s="4"/>
      <c r="E11055" s="4"/>
      <c r="F11055" s="4"/>
    </row>
    <row r="11056" spans="1:6" x14ac:dyDescent="0.4">
      <c r="A11056" s="4"/>
      <c r="B11056" s="4"/>
      <c r="D11056" s="4"/>
      <c r="E11056" s="4"/>
      <c r="F11056" s="4"/>
    </row>
    <row r="11057" spans="1:6" x14ac:dyDescent="0.4">
      <c r="A11057" s="4"/>
      <c r="B11057" s="4"/>
      <c r="D11057" s="4"/>
      <c r="E11057" s="4"/>
      <c r="F11057" s="4"/>
    </row>
    <row r="11058" spans="1:6" x14ac:dyDescent="0.4">
      <c r="A11058" s="4"/>
      <c r="B11058" s="4"/>
      <c r="D11058" s="4"/>
      <c r="E11058" s="4"/>
      <c r="F11058" s="4"/>
    </row>
    <row r="11059" spans="1:6" x14ac:dyDescent="0.4">
      <c r="A11059" s="4"/>
      <c r="B11059" s="4"/>
      <c r="D11059" s="4"/>
      <c r="E11059" s="4"/>
      <c r="F11059" s="4"/>
    </row>
    <row r="11060" spans="1:6" x14ac:dyDescent="0.4">
      <c r="A11060" s="4"/>
      <c r="B11060" s="4"/>
      <c r="D11060" s="4"/>
      <c r="E11060" s="4"/>
      <c r="F11060" s="4"/>
    </row>
    <row r="11061" spans="1:6" x14ac:dyDescent="0.4">
      <c r="A11061" s="4"/>
      <c r="B11061" s="4"/>
      <c r="D11061" s="4"/>
      <c r="E11061" s="4"/>
      <c r="F11061" s="4"/>
    </row>
    <row r="11062" spans="1:6" x14ac:dyDescent="0.4">
      <c r="A11062" s="4"/>
      <c r="B11062" s="4"/>
      <c r="D11062" s="4"/>
      <c r="E11062" s="4"/>
      <c r="F11062" s="4"/>
    </row>
    <row r="11063" spans="1:6" x14ac:dyDescent="0.4">
      <c r="A11063" s="4"/>
      <c r="B11063" s="4"/>
      <c r="D11063" s="4"/>
      <c r="E11063" s="4"/>
      <c r="F11063" s="4"/>
    </row>
    <row r="11064" spans="1:6" x14ac:dyDescent="0.4">
      <c r="A11064" s="4"/>
      <c r="B11064" s="4"/>
      <c r="D11064" s="4"/>
      <c r="E11064" s="4"/>
      <c r="F11064" s="4"/>
    </row>
    <row r="11065" spans="1:6" x14ac:dyDescent="0.4">
      <c r="A11065" s="4"/>
      <c r="B11065" s="4"/>
      <c r="D11065" s="4"/>
      <c r="E11065" s="4"/>
      <c r="F11065" s="4"/>
    </row>
    <row r="11066" spans="1:6" x14ac:dyDescent="0.4">
      <c r="A11066" s="4"/>
      <c r="B11066" s="4"/>
      <c r="D11066" s="4"/>
      <c r="E11066" s="4"/>
      <c r="F11066" s="4"/>
    </row>
    <row r="11067" spans="1:6" x14ac:dyDescent="0.4">
      <c r="A11067" s="4"/>
      <c r="B11067" s="4"/>
      <c r="D11067" s="4"/>
      <c r="E11067" s="4"/>
      <c r="F11067" s="4"/>
    </row>
    <row r="11068" spans="1:6" x14ac:dyDescent="0.4">
      <c r="A11068" s="4"/>
      <c r="B11068" s="4"/>
      <c r="D11068" s="4"/>
      <c r="E11068" s="4"/>
      <c r="F11068" s="4"/>
    </row>
    <row r="11069" spans="1:6" x14ac:dyDescent="0.4">
      <c r="A11069" s="4"/>
      <c r="B11069" s="4"/>
      <c r="D11069" s="4"/>
      <c r="E11069" s="4"/>
      <c r="F11069" s="4"/>
    </row>
    <row r="11070" spans="1:6" x14ac:dyDescent="0.4">
      <c r="A11070" s="4"/>
      <c r="B11070" s="4"/>
      <c r="D11070" s="4"/>
      <c r="E11070" s="4"/>
      <c r="F11070" s="4"/>
    </row>
    <row r="11071" spans="1:6" x14ac:dyDescent="0.4">
      <c r="A11071" s="4"/>
      <c r="B11071" s="4"/>
      <c r="D11071" s="4"/>
      <c r="E11071" s="4"/>
      <c r="F11071" s="4"/>
    </row>
    <row r="11072" spans="1:6" x14ac:dyDescent="0.4">
      <c r="A11072" s="4"/>
      <c r="B11072" s="4"/>
      <c r="D11072" s="4"/>
      <c r="E11072" s="4"/>
      <c r="F11072" s="4"/>
    </row>
    <row r="11073" spans="1:6" x14ac:dyDescent="0.4">
      <c r="A11073" s="4"/>
      <c r="B11073" s="4"/>
      <c r="D11073" s="4"/>
      <c r="E11073" s="4"/>
      <c r="F11073" s="4"/>
    </row>
    <row r="11074" spans="1:6" x14ac:dyDescent="0.4">
      <c r="A11074" s="4"/>
      <c r="B11074" s="4"/>
      <c r="D11074" s="4"/>
      <c r="E11074" s="4"/>
      <c r="F11074" s="4"/>
    </row>
    <row r="11075" spans="1:6" x14ac:dyDescent="0.4">
      <c r="A11075" s="4"/>
      <c r="B11075" s="4"/>
      <c r="D11075" s="4"/>
      <c r="E11075" s="4"/>
      <c r="F11075" s="4"/>
    </row>
    <row r="11076" spans="1:6" x14ac:dyDescent="0.4">
      <c r="A11076" s="4"/>
      <c r="B11076" s="4"/>
      <c r="D11076" s="4"/>
      <c r="E11076" s="4"/>
      <c r="F11076" s="4"/>
    </row>
    <row r="11077" spans="1:6" x14ac:dyDescent="0.4">
      <c r="A11077" s="4"/>
      <c r="B11077" s="4"/>
      <c r="D11077" s="4"/>
      <c r="E11077" s="4"/>
      <c r="F11077" s="4"/>
    </row>
    <row r="11078" spans="1:6" x14ac:dyDescent="0.4">
      <c r="A11078" s="4"/>
      <c r="B11078" s="4"/>
      <c r="D11078" s="4"/>
      <c r="E11078" s="4"/>
      <c r="F11078" s="4"/>
    </row>
    <row r="11079" spans="1:6" x14ac:dyDescent="0.4">
      <c r="A11079" s="4"/>
      <c r="B11079" s="4"/>
      <c r="D11079" s="4"/>
      <c r="E11079" s="4"/>
      <c r="F11079" s="4"/>
    </row>
    <row r="11080" spans="1:6" x14ac:dyDescent="0.4">
      <c r="A11080" s="4"/>
      <c r="B11080" s="4"/>
      <c r="D11080" s="4"/>
      <c r="E11080" s="4"/>
      <c r="F11080" s="4"/>
    </row>
    <row r="11081" spans="1:6" x14ac:dyDescent="0.4">
      <c r="A11081" s="4"/>
      <c r="B11081" s="4"/>
      <c r="D11081" s="4"/>
      <c r="E11081" s="4"/>
      <c r="F11081" s="4"/>
    </row>
    <row r="11082" spans="1:6" x14ac:dyDescent="0.4">
      <c r="A11082" s="4"/>
      <c r="B11082" s="4"/>
      <c r="D11082" s="4"/>
      <c r="E11082" s="4"/>
      <c r="F11082" s="4"/>
    </row>
    <row r="11083" spans="1:6" x14ac:dyDescent="0.4">
      <c r="A11083" s="4"/>
      <c r="B11083" s="4"/>
      <c r="D11083" s="4"/>
      <c r="E11083" s="4"/>
      <c r="F11083" s="4"/>
    </row>
    <row r="11084" spans="1:6" x14ac:dyDescent="0.4">
      <c r="A11084" s="4"/>
      <c r="B11084" s="4"/>
      <c r="D11084" s="4"/>
      <c r="E11084" s="4"/>
      <c r="F11084" s="4"/>
    </row>
    <row r="11085" spans="1:6" x14ac:dyDescent="0.4">
      <c r="A11085" s="4"/>
      <c r="B11085" s="4"/>
      <c r="D11085" s="4"/>
      <c r="E11085" s="4"/>
      <c r="F11085" s="4"/>
    </row>
    <row r="11086" spans="1:6" x14ac:dyDescent="0.4">
      <c r="A11086" s="4"/>
      <c r="B11086" s="4"/>
      <c r="D11086" s="4"/>
      <c r="E11086" s="4"/>
      <c r="F11086" s="4"/>
    </row>
    <row r="11087" spans="1:6" x14ac:dyDescent="0.4">
      <c r="A11087" s="4"/>
      <c r="B11087" s="4"/>
      <c r="D11087" s="4"/>
      <c r="E11087" s="4"/>
      <c r="F11087" s="4"/>
    </row>
    <row r="11088" spans="1:6" x14ac:dyDescent="0.4">
      <c r="A11088" s="4"/>
      <c r="B11088" s="4"/>
      <c r="D11088" s="4"/>
      <c r="E11088" s="4"/>
      <c r="F11088" s="4"/>
    </row>
    <row r="11089" spans="1:6" x14ac:dyDescent="0.4">
      <c r="A11089" s="4"/>
      <c r="B11089" s="4"/>
      <c r="D11089" s="4"/>
      <c r="E11089" s="4"/>
      <c r="F11089" s="4"/>
    </row>
    <row r="11090" spans="1:6" x14ac:dyDescent="0.4">
      <c r="A11090" s="4"/>
      <c r="B11090" s="4"/>
      <c r="D11090" s="4"/>
      <c r="E11090" s="4"/>
      <c r="F11090" s="4"/>
    </row>
    <row r="11091" spans="1:6" x14ac:dyDescent="0.4">
      <c r="A11091" s="4"/>
      <c r="B11091" s="4"/>
      <c r="D11091" s="4"/>
      <c r="E11091" s="4"/>
      <c r="F11091" s="4"/>
    </row>
    <row r="11092" spans="1:6" x14ac:dyDescent="0.4">
      <c r="A11092" s="4"/>
      <c r="B11092" s="4"/>
      <c r="D11092" s="4"/>
      <c r="E11092" s="4"/>
      <c r="F11092" s="4"/>
    </row>
    <row r="11093" spans="1:6" x14ac:dyDescent="0.4">
      <c r="A11093" s="4"/>
      <c r="B11093" s="4"/>
      <c r="D11093" s="4"/>
      <c r="E11093" s="4"/>
      <c r="F11093" s="4"/>
    </row>
    <row r="11094" spans="1:6" x14ac:dyDescent="0.4">
      <c r="A11094" s="4"/>
      <c r="B11094" s="4"/>
      <c r="D11094" s="4"/>
      <c r="E11094" s="4"/>
      <c r="F11094" s="4"/>
    </row>
    <row r="11095" spans="1:6" x14ac:dyDescent="0.4">
      <c r="A11095" s="4"/>
      <c r="B11095" s="4"/>
      <c r="D11095" s="4"/>
      <c r="E11095" s="4"/>
      <c r="F11095" s="4"/>
    </row>
    <row r="11096" spans="1:6" x14ac:dyDescent="0.4">
      <c r="A11096" s="4"/>
      <c r="B11096" s="4"/>
      <c r="D11096" s="4"/>
      <c r="E11096" s="4"/>
      <c r="F11096" s="4"/>
    </row>
    <row r="11097" spans="1:6" x14ac:dyDescent="0.4">
      <c r="A11097" s="4"/>
      <c r="B11097" s="4"/>
      <c r="D11097" s="4"/>
      <c r="E11097" s="4"/>
      <c r="F11097" s="4"/>
    </row>
    <row r="11098" spans="1:6" x14ac:dyDescent="0.4">
      <c r="A11098" s="4"/>
      <c r="B11098" s="4"/>
      <c r="D11098" s="4"/>
      <c r="E11098" s="4"/>
      <c r="F11098" s="4"/>
    </row>
    <row r="11099" spans="1:6" x14ac:dyDescent="0.4">
      <c r="A11099" s="4"/>
      <c r="B11099" s="4"/>
      <c r="D11099" s="4"/>
      <c r="E11099" s="4"/>
      <c r="F11099" s="4"/>
    </row>
    <row r="11100" spans="1:6" x14ac:dyDescent="0.4">
      <c r="A11100" s="4"/>
      <c r="B11100" s="4"/>
      <c r="D11100" s="4"/>
      <c r="E11100" s="4"/>
      <c r="F11100" s="4"/>
    </row>
    <row r="11101" spans="1:6" x14ac:dyDescent="0.4">
      <c r="A11101" s="4"/>
      <c r="B11101" s="4"/>
      <c r="D11101" s="4"/>
      <c r="E11101" s="4"/>
      <c r="F11101" s="4"/>
    </row>
    <row r="11102" spans="1:6" x14ac:dyDescent="0.4">
      <c r="A11102" s="4"/>
      <c r="B11102" s="4"/>
      <c r="D11102" s="4"/>
      <c r="E11102" s="4"/>
      <c r="F11102" s="4"/>
    </row>
    <row r="11103" spans="1:6" x14ac:dyDescent="0.4">
      <c r="A11103" s="4"/>
      <c r="B11103" s="4"/>
      <c r="D11103" s="4"/>
      <c r="E11103" s="4"/>
      <c r="F11103" s="4"/>
    </row>
    <row r="11104" spans="1:6" x14ac:dyDescent="0.4">
      <c r="A11104" s="4"/>
      <c r="B11104" s="4"/>
      <c r="D11104" s="4"/>
      <c r="E11104" s="4"/>
      <c r="F11104" s="4"/>
    </row>
    <row r="11105" spans="1:6" x14ac:dyDescent="0.4">
      <c r="A11105" s="4"/>
      <c r="B11105" s="4"/>
      <c r="D11105" s="4"/>
      <c r="E11105" s="4"/>
      <c r="F11105" s="4"/>
    </row>
    <row r="11106" spans="1:6" x14ac:dyDescent="0.4">
      <c r="A11106" s="4"/>
      <c r="B11106" s="4"/>
      <c r="D11106" s="4"/>
      <c r="E11106" s="4"/>
      <c r="F11106" s="4"/>
    </row>
    <row r="11107" spans="1:6" x14ac:dyDescent="0.4">
      <c r="A11107" s="4"/>
      <c r="B11107" s="4"/>
      <c r="D11107" s="4"/>
      <c r="E11107" s="4"/>
      <c r="F11107" s="4"/>
    </row>
    <row r="11108" spans="1:6" x14ac:dyDescent="0.4">
      <c r="A11108" s="4"/>
      <c r="B11108" s="4"/>
      <c r="D11108" s="4"/>
      <c r="E11108" s="4"/>
      <c r="F11108" s="4"/>
    </row>
    <row r="11109" spans="1:6" x14ac:dyDescent="0.4">
      <c r="A11109" s="4"/>
      <c r="B11109" s="4"/>
      <c r="D11109" s="4"/>
      <c r="E11109" s="4"/>
      <c r="F11109" s="4"/>
    </row>
    <row r="11110" spans="1:6" x14ac:dyDescent="0.4">
      <c r="A11110" s="4"/>
      <c r="B11110" s="4"/>
      <c r="D11110" s="4"/>
      <c r="E11110" s="4"/>
      <c r="F11110" s="4"/>
    </row>
    <row r="11111" spans="1:6" x14ac:dyDescent="0.4">
      <c r="A11111" s="4"/>
      <c r="B11111" s="4"/>
      <c r="D11111" s="4"/>
      <c r="E11111" s="4"/>
      <c r="F11111" s="4"/>
    </row>
    <row r="11112" spans="1:6" x14ac:dyDescent="0.4">
      <c r="A11112" s="4"/>
      <c r="B11112" s="4"/>
      <c r="D11112" s="4"/>
      <c r="E11112" s="4"/>
      <c r="F11112" s="4"/>
    </row>
    <row r="11113" spans="1:6" x14ac:dyDescent="0.4">
      <c r="A11113" s="4"/>
      <c r="B11113" s="4"/>
      <c r="D11113" s="4"/>
      <c r="E11113" s="4"/>
      <c r="F11113" s="4"/>
    </row>
    <row r="11114" spans="1:6" x14ac:dyDescent="0.4">
      <c r="A11114" s="4"/>
      <c r="B11114" s="4"/>
      <c r="D11114" s="4"/>
      <c r="E11114" s="4"/>
      <c r="F11114" s="4"/>
    </row>
    <row r="11115" spans="1:6" x14ac:dyDescent="0.4">
      <c r="A11115" s="4"/>
      <c r="B11115" s="4"/>
      <c r="D11115" s="4"/>
      <c r="E11115" s="4"/>
      <c r="F11115" s="4"/>
    </row>
    <row r="11116" spans="1:6" x14ac:dyDescent="0.4">
      <c r="A11116" s="4"/>
      <c r="B11116" s="4"/>
      <c r="D11116" s="4"/>
      <c r="E11116" s="4"/>
      <c r="F11116" s="4"/>
    </row>
    <row r="11117" spans="1:6" x14ac:dyDescent="0.4">
      <c r="A11117" s="4"/>
      <c r="B11117" s="4"/>
      <c r="D11117" s="4"/>
      <c r="E11117" s="4"/>
      <c r="F11117" s="4"/>
    </row>
    <row r="11118" spans="1:6" x14ac:dyDescent="0.4">
      <c r="A11118" s="4"/>
      <c r="B11118" s="4"/>
      <c r="D11118" s="4"/>
      <c r="E11118" s="4"/>
      <c r="F11118" s="4"/>
    </row>
    <row r="11119" spans="1:6" x14ac:dyDescent="0.4">
      <c r="A11119" s="4"/>
      <c r="B11119" s="4"/>
      <c r="D11119" s="4"/>
      <c r="E11119" s="4"/>
      <c r="F11119" s="4"/>
    </row>
    <row r="11120" spans="1:6" x14ac:dyDescent="0.4">
      <c r="A11120" s="4"/>
      <c r="B11120" s="4"/>
      <c r="D11120" s="4"/>
      <c r="E11120" s="4"/>
      <c r="F11120" s="4"/>
    </row>
    <row r="11121" spans="1:6" x14ac:dyDescent="0.4">
      <c r="A11121" s="4"/>
      <c r="B11121" s="4"/>
      <c r="D11121" s="4"/>
      <c r="E11121" s="4"/>
      <c r="F11121" s="4"/>
    </row>
    <row r="11122" spans="1:6" x14ac:dyDescent="0.4">
      <c r="A11122" s="4"/>
      <c r="B11122" s="4"/>
      <c r="D11122" s="4"/>
      <c r="E11122" s="4"/>
      <c r="F11122" s="4"/>
    </row>
    <row r="11123" spans="1:6" x14ac:dyDescent="0.4">
      <c r="A11123" s="4"/>
      <c r="B11123" s="4"/>
      <c r="D11123" s="4"/>
      <c r="E11123" s="4"/>
      <c r="F11123" s="4"/>
    </row>
    <row r="11124" spans="1:6" x14ac:dyDescent="0.4">
      <c r="A11124" s="4"/>
      <c r="B11124" s="4"/>
      <c r="D11124" s="4"/>
      <c r="E11124" s="4"/>
      <c r="F11124" s="4"/>
    </row>
    <row r="11125" spans="1:6" x14ac:dyDescent="0.4">
      <c r="A11125" s="4"/>
      <c r="B11125" s="4"/>
      <c r="D11125" s="4"/>
      <c r="E11125" s="4"/>
      <c r="F11125" s="4"/>
    </row>
    <row r="11126" spans="1:6" x14ac:dyDescent="0.4">
      <c r="A11126" s="4"/>
      <c r="B11126" s="4"/>
      <c r="D11126" s="4"/>
      <c r="E11126" s="4"/>
      <c r="F11126" s="4"/>
    </row>
    <row r="11127" spans="1:6" x14ac:dyDescent="0.4">
      <c r="A11127" s="4"/>
      <c r="B11127" s="4"/>
      <c r="D11127" s="4"/>
      <c r="E11127" s="4"/>
      <c r="F11127" s="4"/>
    </row>
    <row r="11128" spans="1:6" x14ac:dyDescent="0.4">
      <c r="A11128" s="4"/>
      <c r="B11128" s="4"/>
      <c r="D11128" s="4"/>
      <c r="E11128" s="4"/>
      <c r="F11128" s="4"/>
    </row>
    <row r="11129" spans="1:6" x14ac:dyDescent="0.4">
      <c r="A11129" s="4"/>
      <c r="B11129" s="4"/>
      <c r="D11129" s="4"/>
      <c r="E11129" s="4"/>
      <c r="F11129" s="4"/>
    </row>
    <row r="11130" spans="1:6" x14ac:dyDescent="0.4">
      <c r="A11130" s="4"/>
      <c r="B11130" s="4"/>
      <c r="D11130" s="4"/>
      <c r="E11130" s="4"/>
      <c r="F11130" s="4"/>
    </row>
    <row r="11131" spans="1:6" x14ac:dyDescent="0.4">
      <c r="A11131" s="4"/>
      <c r="B11131" s="4"/>
      <c r="D11131" s="4"/>
      <c r="E11131" s="4"/>
      <c r="F11131" s="4"/>
    </row>
    <row r="11132" spans="1:6" x14ac:dyDescent="0.4">
      <c r="A11132" s="4"/>
      <c r="B11132" s="4"/>
      <c r="D11132" s="4"/>
      <c r="E11132" s="4"/>
      <c r="F11132" s="4"/>
    </row>
    <row r="11133" spans="1:6" x14ac:dyDescent="0.4">
      <c r="A11133" s="4"/>
      <c r="B11133" s="4"/>
      <c r="D11133" s="4"/>
      <c r="E11133" s="4"/>
      <c r="F11133" s="4"/>
    </row>
    <row r="11134" spans="1:6" x14ac:dyDescent="0.4">
      <c r="A11134" s="4"/>
      <c r="B11134" s="4"/>
      <c r="D11134" s="4"/>
      <c r="E11134" s="4"/>
      <c r="F11134" s="4"/>
    </row>
    <row r="11135" spans="1:6" x14ac:dyDescent="0.4">
      <c r="A11135" s="4"/>
      <c r="B11135" s="4"/>
      <c r="D11135" s="4"/>
      <c r="E11135" s="4"/>
      <c r="F11135" s="4"/>
    </row>
    <row r="11136" spans="1:6" x14ac:dyDescent="0.4">
      <c r="A11136" s="4"/>
      <c r="B11136" s="4"/>
      <c r="D11136" s="4"/>
      <c r="E11136" s="4"/>
      <c r="F11136" s="4"/>
    </row>
    <row r="11137" spans="1:6" x14ac:dyDescent="0.4">
      <c r="A11137" s="4"/>
      <c r="B11137" s="4"/>
      <c r="D11137" s="4"/>
      <c r="E11137" s="4"/>
      <c r="F11137" s="4"/>
    </row>
    <row r="11138" spans="1:6" x14ac:dyDescent="0.4">
      <c r="A11138" s="4"/>
      <c r="B11138" s="4"/>
      <c r="D11138" s="4"/>
      <c r="E11138" s="4"/>
      <c r="F11138" s="4"/>
    </row>
    <row r="11139" spans="1:6" x14ac:dyDescent="0.4">
      <c r="A11139" s="4"/>
      <c r="B11139" s="4"/>
      <c r="D11139" s="4"/>
      <c r="E11139" s="4"/>
      <c r="F11139" s="4"/>
    </row>
    <row r="11140" spans="1:6" x14ac:dyDescent="0.4">
      <c r="A11140" s="4"/>
      <c r="B11140" s="4"/>
      <c r="D11140" s="4"/>
      <c r="E11140" s="4"/>
      <c r="F11140" s="4"/>
    </row>
    <row r="11141" spans="1:6" x14ac:dyDescent="0.4">
      <c r="A11141" s="4"/>
      <c r="B11141" s="4"/>
      <c r="D11141" s="4"/>
      <c r="E11141" s="4"/>
      <c r="F11141" s="4"/>
    </row>
    <row r="11142" spans="1:6" x14ac:dyDescent="0.4">
      <c r="A11142" s="4"/>
      <c r="B11142" s="4"/>
      <c r="D11142" s="4"/>
      <c r="E11142" s="4"/>
      <c r="F11142" s="4"/>
    </row>
    <row r="11143" spans="1:6" x14ac:dyDescent="0.4">
      <c r="A11143" s="4"/>
      <c r="B11143" s="4"/>
      <c r="D11143" s="4"/>
      <c r="E11143" s="4"/>
      <c r="F11143" s="4"/>
    </row>
    <row r="11144" spans="1:6" x14ac:dyDescent="0.4">
      <c r="A11144" s="4"/>
      <c r="B11144" s="4"/>
      <c r="D11144" s="4"/>
      <c r="E11144" s="4"/>
      <c r="F11144" s="4"/>
    </row>
    <row r="11145" spans="1:6" x14ac:dyDescent="0.4">
      <c r="A11145" s="4"/>
      <c r="B11145" s="4"/>
      <c r="D11145" s="4"/>
      <c r="E11145" s="4"/>
      <c r="F11145" s="4"/>
    </row>
    <row r="11146" spans="1:6" x14ac:dyDescent="0.4">
      <c r="A11146" s="4"/>
      <c r="B11146" s="4"/>
      <c r="D11146" s="4"/>
      <c r="E11146" s="4"/>
      <c r="F11146" s="4"/>
    </row>
    <row r="11147" spans="1:6" x14ac:dyDescent="0.4">
      <c r="A11147" s="4"/>
      <c r="B11147" s="4"/>
      <c r="D11147" s="4"/>
      <c r="E11147" s="4"/>
      <c r="F11147" s="4"/>
    </row>
    <row r="11148" spans="1:6" x14ac:dyDescent="0.4">
      <c r="A11148" s="4"/>
      <c r="B11148" s="4"/>
      <c r="D11148" s="4"/>
      <c r="E11148" s="4"/>
      <c r="F11148" s="4"/>
    </row>
    <row r="11149" spans="1:6" x14ac:dyDescent="0.4">
      <c r="A11149" s="4"/>
      <c r="B11149" s="4"/>
      <c r="D11149" s="4"/>
      <c r="E11149" s="4"/>
      <c r="F11149" s="4"/>
    </row>
    <row r="11150" spans="1:6" x14ac:dyDescent="0.4">
      <c r="A11150" s="4"/>
      <c r="B11150" s="4"/>
      <c r="D11150" s="4"/>
      <c r="E11150" s="4"/>
      <c r="F11150" s="4"/>
    </row>
    <row r="11151" spans="1:6" x14ac:dyDescent="0.4">
      <c r="A11151" s="4"/>
      <c r="B11151" s="4"/>
      <c r="D11151" s="4"/>
      <c r="E11151" s="4"/>
      <c r="F11151" s="4"/>
    </row>
    <row r="11152" spans="1:6" x14ac:dyDescent="0.4">
      <c r="A11152" s="4"/>
      <c r="B11152" s="4"/>
      <c r="D11152" s="4"/>
      <c r="E11152" s="4"/>
      <c r="F11152" s="4"/>
    </row>
    <row r="11153" spans="1:6" x14ac:dyDescent="0.4">
      <c r="A11153" s="4"/>
      <c r="B11153" s="4"/>
      <c r="D11153" s="4"/>
      <c r="E11153" s="4"/>
      <c r="F11153" s="4"/>
    </row>
    <row r="11154" spans="1:6" x14ac:dyDescent="0.4">
      <c r="A11154" s="4"/>
      <c r="B11154" s="4"/>
      <c r="D11154" s="4"/>
      <c r="E11154" s="4"/>
      <c r="F11154" s="4"/>
    </row>
    <row r="11155" spans="1:6" x14ac:dyDescent="0.4">
      <c r="A11155" s="4"/>
      <c r="B11155" s="4"/>
      <c r="D11155" s="4"/>
      <c r="E11155" s="4"/>
      <c r="F11155" s="4"/>
    </row>
    <row r="11156" spans="1:6" x14ac:dyDescent="0.4">
      <c r="A11156" s="4"/>
      <c r="B11156" s="4"/>
      <c r="D11156" s="4"/>
      <c r="E11156" s="4"/>
      <c r="F11156" s="4"/>
    </row>
    <row r="11157" spans="1:6" x14ac:dyDescent="0.4">
      <c r="A11157" s="4"/>
      <c r="B11157" s="4"/>
      <c r="D11157" s="4"/>
      <c r="E11157" s="4"/>
      <c r="F11157" s="4"/>
    </row>
    <row r="11158" spans="1:6" x14ac:dyDescent="0.4">
      <c r="A11158" s="4"/>
      <c r="B11158" s="4"/>
      <c r="D11158" s="4"/>
      <c r="E11158" s="4"/>
      <c r="F11158" s="4"/>
    </row>
    <row r="11159" spans="1:6" x14ac:dyDescent="0.4">
      <c r="A11159" s="4"/>
      <c r="B11159" s="4"/>
      <c r="D11159" s="4"/>
      <c r="E11159" s="4"/>
      <c r="F11159" s="4"/>
    </row>
    <row r="11160" spans="1:6" x14ac:dyDescent="0.4">
      <c r="A11160" s="4"/>
      <c r="B11160" s="4"/>
      <c r="D11160" s="4"/>
      <c r="E11160" s="4"/>
      <c r="F11160" s="4"/>
    </row>
    <row r="11161" spans="1:6" x14ac:dyDescent="0.4">
      <c r="A11161" s="4"/>
      <c r="B11161" s="4"/>
      <c r="D11161" s="4"/>
      <c r="E11161" s="4"/>
      <c r="F11161" s="4"/>
    </row>
    <row r="11162" spans="1:6" x14ac:dyDescent="0.4">
      <c r="A11162" s="4"/>
      <c r="B11162" s="4"/>
      <c r="D11162" s="4"/>
      <c r="E11162" s="4"/>
      <c r="F11162" s="4"/>
    </row>
    <row r="11163" spans="1:6" x14ac:dyDescent="0.4">
      <c r="A11163" s="4"/>
      <c r="B11163" s="4"/>
      <c r="D11163" s="4"/>
      <c r="E11163" s="4"/>
      <c r="F11163" s="4"/>
    </row>
    <row r="11164" spans="1:6" x14ac:dyDescent="0.4">
      <c r="A11164" s="4"/>
      <c r="B11164" s="4"/>
      <c r="D11164" s="4"/>
      <c r="E11164" s="4"/>
      <c r="F11164" s="4"/>
    </row>
    <row r="11165" spans="1:6" x14ac:dyDescent="0.4">
      <c r="A11165" s="4"/>
      <c r="B11165" s="4"/>
      <c r="D11165" s="4"/>
      <c r="E11165" s="4"/>
      <c r="F11165" s="4"/>
    </row>
    <row r="11166" spans="1:6" x14ac:dyDescent="0.4">
      <c r="A11166" s="4"/>
      <c r="B11166" s="4"/>
      <c r="D11166" s="4"/>
      <c r="E11166" s="4"/>
      <c r="F11166" s="4"/>
    </row>
    <row r="11167" spans="1:6" x14ac:dyDescent="0.4">
      <c r="A11167" s="4"/>
      <c r="B11167" s="4"/>
      <c r="D11167" s="4"/>
      <c r="E11167" s="4"/>
      <c r="F11167" s="4"/>
    </row>
    <row r="11168" spans="1:6" x14ac:dyDescent="0.4">
      <c r="A11168" s="4"/>
      <c r="B11168" s="4"/>
      <c r="D11168" s="4"/>
      <c r="E11168" s="4"/>
      <c r="F11168" s="4"/>
    </row>
    <row r="11169" spans="1:6" x14ac:dyDescent="0.4">
      <c r="A11169" s="4"/>
      <c r="B11169" s="4"/>
      <c r="D11169" s="4"/>
      <c r="E11169" s="4"/>
      <c r="F11169" s="4"/>
    </row>
    <row r="11170" spans="1:6" x14ac:dyDescent="0.4">
      <c r="A11170" s="4"/>
      <c r="B11170" s="4"/>
      <c r="D11170" s="4"/>
      <c r="E11170" s="4"/>
      <c r="F11170" s="4"/>
    </row>
    <row r="11171" spans="1:6" x14ac:dyDescent="0.4">
      <c r="A11171" s="4"/>
      <c r="B11171" s="4"/>
      <c r="D11171" s="4"/>
      <c r="E11171" s="4"/>
      <c r="F11171" s="4"/>
    </row>
    <row r="11172" spans="1:6" x14ac:dyDescent="0.4">
      <c r="A11172" s="4"/>
      <c r="B11172" s="4"/>
      <c r="D11172" s="4"/>
      <c r="E11172" s="4"/>
      <c r="F11172" s="4"/>
    </row>
    <row r="11173" spans="1:6" x14ac:dyDescent="0.4">
      <c r="A11173" s="4"/>
      <c r="B11173" s="4"/>
      <c r="D11173" s="4"/>
      <c r="E11173" s="4"/>
      <c r="F11173" s="4"/>
    </row>
    <row r="11174" spans="1:6" x14ac:dyDescent="0.4">
      <c r="A11174" s="4"/>
      <c r="B11174" s="4"/>
      <c r="D11174" s="4"/>
      <c r="E11174" s="4"/>
      <c r="F11174" s="4"/>
    </row>
    <row r="11175" spans="1:6" x14ac:dyDescent="0.4">
      <c r="A11175" s="4"/>
      <c r="B11175" s="4"/>
      <c r="D11175" s="4"/>
      <c r="E11175" s="4"/>
      <c r="F11175" s="4"/>
    </row>
    <row r="11176" spans="1:6" x14ac:dyDescent="0.4">
      <c r="A11176" s="4"/>
      <c r="B11176" s="4"/>
      <c r="D11176" s="4"/>
      <c r="E11176" s="4"/>
      <c r="F11176" s="4"/>
    </row>
    <row r="11177" spans="1:6" x14ac:dyDescent="0.4">
      <c r="A11177" s="4"/>
      <c r="B11177" s="4"/>
      <c r="D11177" s="4"/>
      <c r="E11177" s="4"/>
      <c r="F11177" s="4"/>
    </row>
    <row r="11178" spans="1:6" x14ac:dyDescent="0.4">
      <c r="A11178" s="4"/>
      <c r="B11178" s="4"/>
      <c r="D11178" s="4"/>
      <c r="E11178" s="4"/>
      <c r="F11178" s="4"/>
    </row>
    <row r="11179" spans="1:6" x14ac:dyDescent="0.4">
      <c r="A11179" s="4"/>
      <c r="B11179" s="4"/>
      <c r="D11179" s="4"/>
      <c r="E11179" s="4"/>
      <c r="F11179" s="4"/>
    </row>
    <row r="11180" spans="1:6" x14ac:dyDescent="0.4">
      <c r="A11180" s="4"/>
      <c r="B11180" s="4"/>
      <c r="D11180" s="4"/>
      <c r="E11180" s="4"/>
      <c r="F11180" s="4"/>
    </row>
    <row r="11181" spans="1:6" x14ac:dyDescent="0.4">
      <c r="A11181" s="4"/>
      <c r="B11181" s="4"/>
      <c r="D11181" s="4"/>
      <c r="E11181" s="4"/>
      <c r="F11181" s="4"/>
    </row>
    <row r="11182" spans="1:6" x14ac:dyDescent="0.4">
      <c r="A11182" s="4"/>
      <c r="B11182" s="4"/>
      <c r="D11182" s="4"/>
      <c r="E11182" s="4"/>
      <c r="F11182" s="4"/>
    </row>
    <row r="11183" spans="1:6" x14ac:dyDescent="0.4">
      <c r="A11183" s="4"/>
      <c r="B11183" s="4"/>
      <c r="D11183" s="4"/>
      <c r="E11183" s="4"/>
      <c r="F11183" s="4"/>
    </row>
    <row r="11184" spans="1:6" x14ac:dyDescent="0.4">
      <c r="A11184" s="4"/>
      <c r="B11184" s="4"/>
      <c r="D11184" s="4"/>
      <c r="E11184" s="4"/>
      <c r="F11184" s="4"/>
    </row>
    <row r="11185" spans="1:6" x14ac:dyDescent="0.4">
      <c r="A11185" s="4"/>
      <c r="B11185" s="4"/>
      <c r="D11185" s="4"/>
      <c r="E11185" s="4"/>
      <c r="F11185" s="4"/>
    </row>
    <row r="11186" spans="1:6" x14ac:dyDescent="0.4">
      <c r="A11186" s="4"/>
      <c r="B11186" s="4"/>
      <c r="D11186" s="4"/>
      <c r="E11186" s="4"/>
      <c r="F11186" s="4"/>
    </row>
    <row r="11187" spans="1:6" x14ac:dyDescent="0.4">
      <c r="A11187" s="4"/>
      <c r="B11187" s="4"/>
      <c r="D11187" s="4"/>
      <c r="E11187" s="4"/>
      <c r="F11187" s="4"/>
    </row>
    <row r="11188" spans="1:6" x14ac:dyDescent="0.4">
      <c r="A11188" s="4"/>
      <c r="B11188" s="4"/>
      <c r="D11188" s="4"/>
      <c r="E11188" s="4"/>
      <c r="F11188" s="4"/>
    </row>
    <row r="11189" spans="1:6" x14ac:dyDescent="0.4">
      <c r="A11189" s="4"/>
      <c r="B11189" s="4"/>
      <c r="D11189" s="4"/>
      <c r="E11189" s="4"/>
      <c r="F11189" s="4"/>
    </row>
    <row r="11190" spans="1:6" x14ac:dyDescent="0.4">
      <c r="A11190" s="4"/>
      <c r="B11190" s="4"/>
      <c r="D11190" s="4"/>
      <c r="E11190" s="4"/>
      <c r="F11190" s="4"/>
    </row>
    <row r="11191" spans="1:6" x14ac:dyDescent="0.4">
      <c r="A11191" s="4"/>
      <c r="B11191" s="4"/>
      <c r="D11191" s="4"/>
      <c r="E11191" s="4"/>
      <c r="F11191" s="4"/>
    </row>
    <row r="11192" spans="1:6" x14ac:dyDescent="0.4">
      <c r="A11192" s="4"/>
      <c r="B11192" s="4"/>
      <c r="D11192" s="4"/>
      <c r="E11192" s="4"/>
      <c r="F11192" s="4"/>
    </row>
    <row r="11193" spans="1:6" x14ac:dyDescent="0.4">
      <c r="A11193" s="4"/>
      <c r="B11193" s="4"/>
      <c r="D11193" s="4"/>
      <c r="E11193" s="4"/>
      <c r="F11193" s="4"/>
    </row>
    <row r="11194" spans="1:6" x14ac:dyDescent="0.4">
      <c r="A11194" s="4"/>
      <c r="B11194" s="4"/>
      <c r="D11194" s="4"/>
      <c r="E11194" s="4"/>
      <c r="F11194" s="4"/>
    </row>
    <row r="11195" spans="1:6" x14ac:dyDescent="0.4">
      <c r="A11195" s="4"/>
      <c r="B11195" s="4"/>
      <c r="D11195" s="4"/>
      <c r="E11195" s="4"/>
      <c r="F11195" s="4"/>
    </row>
    <row r="11196" spans="1:6" x14ac:dyDescent="0.4">
      <c r="A11196" s="4"/>
      <c r="B11196" s="4"/>
      <c r="D11196" s="4"/>
      <c r="E11196" s="4"/>
      <c r="F11196" s="4"/>
    </row>
    <row r="11197" spans="1:6" x14ac:dyDescent="0.4">
      <c r="A11197" s="4"/>
      <c r="B11197" s="4"/>
      <c r="D11197" s="4"/>
      <c r="E11197" s="4"/>
      <c r="F11197" s="4"/>
    </row>
    <row r="11198" spans="1:6" x14ac:dyDescent="0.4">
      <c r="A11198" s="4"/>
      <c r="B11198" s="4"/>
      <c r="D11198" s="4"/>
      <c r="E11198" s="4"/>
      <c r="F11198" s="4"/>
    </row>
    <row r="11199" spans="1:6" x14ac:dyDescent="0.4">
      <c r="A11199" s="4"/>
      <c r="B11199" s="4"/>
      <c r="D11199" s="4"/>
      <c r="E11199" s="4"/>
      <c r="F11199" s="4"/>
    </row>
    <row r="11200" spans="1:6" x14ac:dyDescent="0.4">
      <c r="A11200" s="4"/>
      <c r="B11200" s="4"/>
      <c r="D11200" s="4"/>
      <c r="E11200" s="4"/>
      <c r="F11200" s="4"/>
    </row>
    <row r="11201" spans="1:6" x14ac:dyDescent="0.4">
      <c r="A11201" s="4"/>
      <c r="B11201" s="4"/>
      <c r="D11201" s="4"/>
      <c r="E11201" s="4"/>
      <c r="F11201" s="4"/>
    </row>
    <row r="11202" spans="1:6" x14ac:dyDescent="0.4">
      <c r="A11202" s="4"/>
      <c r="B11202" s="4"/>
      <c r="D11202" s="4"/>
      <c r="E11202" s="4"/>
      <c r="F11202" s="4"/>
    </row>
    <row r="11203" spans="1:6" x14ac:dyDescent="0.4">
      <c r="A11203" s="4"/>
      <c r="B11203" s="4"/>
      <c r="D11203" s="4"/>
      <c r="E11203" s="4"/>
      <c r="F11203" s="4"/>
    </row>
    <row r="11204" spans="1:6" x14ac:dyDescent="0.4">
      <c r="A11204" s="4"/>
      <c r="B11204" s="4"/>
      <c r="D11204" s="4"/>
      <c r="E11204" s="4"/>
      <c r="F11204" s="4"/>
    </row>
    <row r="11205" spans="1:6" x14ac:dyDescent="0.4">
      <c r="A11205" s="4"/>
      <c r="B11205" s="4"/>
      <c r="D11205" s="4"/>
      <c r="E11205" s="4"/>
      <c r="F11205" s="4"/>
    </row>
    <row r="11206" spans="1:6" x14ac:dyDescent="0.4">
      <c r="A11206" s="4"/>
      <c r="B11206" s="4"/>
      <c r="D11206" s="4"/>
      <c r="E11206" s="4"/>
      <c r="F11206" s="4"/>
    </row>
    <row r="11207" spans="1:6" x14ac:dyDescent="0.4">
      <c r="A11207" s="4"/>
      <c r="B11207" s="4"/>
      <c r="D11207" s="4"/>
      <c r="E11207" s="4"/>
      <c r="F11207" s="4"/>
    </row>
    <row r="11208" spans="1:6" x14ac:dyDescent="0.4">
      <c r="A11208" s="4"/>
      <c r="B11208" s="4"/>
      <c r="D11208" s="4"/>
      <c r="E11208" s="4"/>
      <c r="F11208" s="4"/>
    </row>
    <row r="11209" spans="1:6" x14ac:dyDescent="0.4">
      <c r="A11209" s="4"/>
      <c r="B11209" s="4"/>
      <c r="D11209" s="4"/>
      <c r="E11209" s="4"/>
      <c r="F11209" s="4"/>
    </row>
    <row r="11210" spans="1:6" x14ac:dyDescent="0.4">
      <c r="A11210" s="4"/>
      <c r="B11210" s="4"/>
      <c r="D11210" s="4"/>
      <c r="E11210" s="4"/>
      <c r="F11210" s="4"/>
    </row>
    <row r="11211" spans="1:6" x14ac:dyDescent="0.4">
      <c r="A11211" s="4"/>
      <c r="B11211" s="4"/>
      <c r="D11211" s="4"/>
      <c r="E11211" s="4"/>
      <c r="F11211" s="4"/>
    </row>
    <row r="11212" spans="1:6" x14ac:dyDescent="0.4">
      <c r="A11212" s="4"/>
      <c r="B11212" s="4"/>
      <c r="D11212" s="4"/>
      <c r="E11212" s="4"/>
      <c r="F11212" s="4"/>
    </row>
    <row r="11213" spans="1:6" x14ac:dyDescent="0.4">
      <c r="A11213" s="4"/>
      <c r="B11213" s="4"/>
      <c r="D11213" s="4"/>
      <c r="E11213" s="4"/>
      <c r="F11213" s="4"/>
    </row>
    <row r="11214" spans="1:6" x14ac:dyDescent="0.4">
      <c r="A11214" s="4"/>
      <c r="B11214" s="4"/>
      <c r="D11214" s="4"/>
      <c r="E11214" s="4"/>
      <c r="F11214" s="4"/>
    </row>
    <row r="11215" spans="1:6" x14ac:dyDescent="0.4">
      <c r="A11215" s="4"/>
      <c r="B11215" s="4"/>
      <c r="D11215" s="4"/>
      <c r="E11215" s="4"/>
      <c r="F11215" s="4"/>
    </row>
    <row r="11216" spans="1:6" x14ac:dyDescent="0.4">
      <c r="A11216" s="4"/>
      <c r="B11216" s="4"/>
      <c r="D11216" s="4"/>
      <c r="E11216" s="4"/>
      <c r="F11216" s="4"/>
    </row>
    <row r="11217" spans="1:6" x14ac:dyDescent="0.4">
      <c r="A11217" s="4"/>
      <c r="B11217" s="4"/>
      <c r="D11217" s="4"/>
      <c r="E11217" s="4"/>
      <c r="F11217" s="4"/>
    </row>
    <row r="11218" spans="1:6" x14ac:dyDescent="0.4">
      <c r="A11218" s="4"/>
      <c r="B11218" s="4"/>
      <c r="D11218" s="4"/>
      <c r="E11218" s="4"/>
      <c r="F11218" s="4"/>
    </row>
    <row r="11219" spans="1:6" x14ac:dyDescent="0.4">
      <c r="A11219" s="4"/>
      <c r="B11219" s="4"/>
      <c r="D11219" s="4"/>
      <c r="E11219" s="4"/>
      <c r="F11219" s="4"/>
    </row>
    <row r="11220" spans="1:6" x14ac:dyDescent="0.4">
      <c r="A11220" s="4"/>
      <c r="B11220" s="4"/>
      <c r="D11220" s="4"/>
      <c r="E11220" s="4"/>
      <c r="F11220" s="4"/>
    </row>
    <row r="11221" spans="1:6" x14ac:dyDescent="0.4">
      <c r="A11221" s="4"/>
      <c r="B11221" s="4"/>
      <c r="D11221" s="4"/>
      <c r="E11221" s="4"/>
      <c r="F11221" s="4"/>
    </row>
    <row r="11222" spans="1:6" x14ac:dyDescent="0.4">
      <c r="A11222" s="4"/>
      <c r="B11222" s="4"/>
      <c r="D11222" s="4"/>
      <c r="E11222" s="4"/>
      <c r="F11222" s="4"/>
    </row>
    <row r="11223" spans="1:6" x14ac:dyDescent="0.4">
      <c r="A11223" s="4"/>
      <c r="B11223" s="4"/>
      <c r="D11223" s="4"/>
      <c r="E11223" s="4"/>
      <c r="F11223" s="4"/>
    </row>
    <row r="11224" spans="1:6" x14ac:dyDescent="0.4">
      <c r="A11224" s="4"/>
      <c r="B11224" s="4"/>
      <c r="D11224" s="4"/>
      <c r="E11224" s="4"/>
      <c r="F11224" s="4"/>
    </row>
    <row r="11225" spans="1:6" x14ac:dyDescent="0.4">
      <c r="A11225" s="4"/>
      <c r="B11225" s="4"/>
      <c r="D11225" s="4"/>
      <c r="E11225" s="4"/>
      <c r="F11225" s="4"/>
    </row>
    <row r="11226" spans="1:6" x14ac:dyDescent="0.4">
      <c r="A11226" s="4"/>
      <c r="B11226" s="4"/>
      <c r="D11226" s="4"/>
      <c r="E11226" s="4"/>
      <c r="F11226" s="4"/>
    </row>
    <row r="11227" spans="1:6" x14ac:dyDescent="0.4">
      <c r="A11227" s="4"/>
      <c r="B11227" s="4"/>
      <c r="D11227" s="4"/>
      <c r="E11227" s="4"/>
      <c r="F11227" s="4"/>
    </row>
    <row r="11228" spans="1:6" x14ac:dyDescent="0.4">
      <c r="A11228" s="4"/>
      <c r="B11228" s="4"/>
      <c r="D11228" s="4"/>
      <c r="E11228" s="4"/>
      <c r="F11228" s="4"/>
    </row>
    <row r="11229" spans="1:6" x14ac:dyDescent="0.4">
      <c r="A11229" s="4"/>
      <c r="B11229" s="4"/>
      <c r="D11229" s="4"/>
      <c r="E11229" s="4"/>
      <c r="F11229" s="4"/>
    </row>
    <row r="11230" spans="1:6" x14ac:dyDescent="0.4">
      <c r="A11230" s="4"/>
      <c r="B11230" s="4"/>
      <c r="D11230" s="4"/>
      <c r="E11230" s="4"/>
      <c r="F11230" s="4"/>
    </row>
    <row r="11231" spans="1:6" x14ac:dyDescent="0.4">
      <c r="A11231" s="4"/>
      <c r="B11231" s="4"/>
      <c r="D11231" s="4"/>
      <c r="E11231" s="4"/>
      <c r="F11231" s="4"/>
    </row>
    <row r="11232" spans="1:6" x14ac:dyDescent="0.4">
      <c r="A11232" s="4"/>
      <c r="B11232" s="4"/>
      <c r="D11232" s="4"/>
      <c r="E11232" s="4"/>
      <c r="F11232" s="4"/>
    </row>
    <row r="11233" spans="1:6" x14ac:dyDescent="0.4">
      <c r="A11233" s="4"/>
      <c r="B11233" s="4"/>
      <c r="D11233" s="4"/>
      <c r="E11233" s="4"/>
      <c r="F11233" s="4"/>
    </row>
    <row r="11234" spans="1:6" x14ac:dyDescent="0.4">
      <c r="A11234" s="4"/>
      <c r="B11234" s="4"/>
      <c r="D11234" s="4"/>
      <c r="E11234" s="4"/>
      <c r="F11234" s="4"/>
    </row>
    <row r="11235" spans="1:6" x14ac:dyDescent="0.4">
      <c r="A11235" s="4"/>
      <c r="B11235" s="4"/>
      <c r="D11235" s="4"/>
      <c r="E11235" s="4"/>
      <c r="F11235" s="4"/>
    </row>
    <row r="11236" spans="1:6" x14ac:dyDescent="0.4">
      <c r="A11236" s="4"/>
      <c r="B11236" s="4"/>
      <c r="D11236" s="4"/>
      <c r="E11236" s="4"/>
      <c r="F11236" s="4"/>
    </row>
    <row r="11237" spans="1:6" x14ac:dyDescent="0.4">
      <c r="A11237" s="4"/>
      <c r="B11237" s="4"/>
      <c r="D11237" s="4"/>
      <c r="E11237" s="4"/>
      <c r="F11237" s="4"/>
    </row>
    <row r="11238" spans="1:6" x14ac:dyDescent="0.4">
      <c r="A11238" s="4"/>
      <c r="B11238" s="4"/>
      <c r="D11238" s="4"/>
      <c r="E11238" s="4"/>
      <c r="F11238" s="4"/>
    </row>
    <row r="11239" spans="1:6" x14ac:dyDescent="0.4">
      <c r="A11239" s="4"/>
      <c r="B11239" s="4"/>
      <c r="D11239" s="4"/>
      <c r="E11239" s="4"/>
      <c r="F11239" s="4"/>
    </row>
    <row r="11240" spans="1:6" x14ac:dyDescent="0.4">
      <c r="A11240" s="4"/>
      <c r="B11240" s="4"/>
      <c r="D11240" s="4"/>
      <c r="E11240" s="4"/>
      <c r="F11240" s="4"/>
    </row>
    <row r="11241" spans="1:6" x14ac:dyDescent="0.4">
      <c r="A11241" s="4"/>
      <c r="B11241" s="4"/>
      <c r="D11241" s="4"/>
      <c r="E11241" s="4"/>
      <c r="F11241" s="4"/>
    </row>
    <row r="11242" spans="1:6" x14ac:dyDescent="0.4">
      <c r="A11242" s="4"/>
      <c r="B11242" s="4"/>
      <c r="D11242" s="4"/>
      <c r="E11242" s="4"/>
      <c r="F11242" s="4"/>
    </row>
    <row r="11243" spans="1:6" x14ac:dyDescent="0.4">
      <c r="A11243" s="4"/>
      <c r="B11243" s="4"/>
      <c r="D11243" s="4"/>
      <c r="E11243" s="4"/>
      <c r="F11243" s="4"/>
    </row>
    <row r="11244" spans="1:6" x14ac:dyDescent="0.4">
      <c r="A11244" s="4"/>
      <c r="B11244" s="4"/>
      <c r="D11244" s="4"/>
      <c r="E11244" s="4"/>
      <c r="F11244" s="4"/>
    </row>
    <row r="11245" spans="1:6" x14ac:dyDescent="0.4">
      <c r="A11245" s="4"/>
      <c r="B11245" s="4"/>
      <c r="D11245" s="4"/>
      <c r="E11245" s="4"/>
      <c r="F11245" s="4"/>
    </row>
    <row r="11246" spans="1:6" x14ac:dyDescent="0.4">
      <c r="A11246" s="4"/>
      <c r="B11246" s="4"/>
      <c r="D11246" s="4"/>
      <c r="E11246" s="4"/>
      <c r="F11246" s="4"/>
    </row>
    <row r="11247" spans="1:6" x14ac:dyDescent="0.4">
      <c r="A11247" s="4"/>
      <c r="B11247" s="4"/>
      <c r="D11247" s="4"/>
      <c r="E11247" s="4"/>
      <c r="F11247" s="4"/>
    </row>
    <row r="11248" spans="1:6" x14ac:dyDescent="0.4">
      <c r="A11248" s="4"/>
      <c r="B11248" s="4"/>
      <c r="D11248" s="4"/>
      <c r="E11248" s="4"/>
      <c r="F11248" s="4"/>
    </row>
    <row r="11249" spans="1:6" x14ac:dyDescent="0.4">
      <c r="A11249" s="4"/>
      <c r="B11249" s="4"/>
      <c r="D11249" s="4"/>
      <c r="E11249" s="4"/>
      <c r="F11249" s="4"/>
    </row>
    <row r="11250" spans="1:6" x14ac:dyDescent="0.4">
      <c r="A11250" s="4"/>
      <c r="B11250" s="4"/>
      <c r="D11250" s="4"/>
      <c r="E11250" s="4"/>
      <c r="F11250" s="4"/>
    </row>
    <row r="11251" spans="1:6" x14ac:dyDescent="0.4">
      <c r="A11251" s="4"/>
      <c r="B11251" s="4"/>
      <c r="D11251" s="4"/>
      <c r="E11251" s="4"/>
      <c r="F11251" s="4"/>
    </row>
    <row r="11252" spans="1:6" x14ac:dyDescent="0.4">
      <c r="A11252" s="4"/>
      <c r="B11252" s="4"/>
      <c r="D11252" s="4"/>
      <c r="E11252" s="4"/>
      <c r="F11252" s="4"/>
    </row>
    <row r="11253" spans="1:6" x14ac:dyDescent="0.4">
      <c r="A11253" s="4"/>
      <c r="B11253" s="4"/>
      <c r="D11253" s="4"/>
      <c r="E11253" s="4"/>
      <c r="F11253" s="4"/>
    </row>
    <row r="11254" spans="1:6" x14ac:dyDescent="0.4">
      <c r="A11254" s="4"/>
      <c r="B11254" s="4"/>
      <c r="D11254" s="4"/>
      <c r="E11254" s="4"/>
      <c r="F11254" s="4"/>
    </row>
    <row r="11255" spans="1:6" x14ac:dyDescent="0.4">
      <c r="A11255" s="4"/>
      <c r="B11255" s="4"/>
      <c r="D11255" s="4"/>
      <c r="E11255" s="4"/>
      <c r="F11255" s="4"/>
    </row>
    <row r="11256" spans="1:6" x14ac:dyDescent="0.4">
      <c r="A11256" s="4"/>
      <c r="B11256" s="4"/>
      <c r="D11256" s="4"/>
      <c r="E11256" s="4"/>
      <c r="F11256" s="4"/>
    </row>
    <row r="11257" spans="1:6" x14ac:dyDescent="0.4">
      <c r="A11257" s="4"/>
      <c r="B11257" s="4"/>
      <c r="D11257" s="4"/>
      <c r="E11257" s="4"/>
      <c r="F11257" s="4"/>
    </row>
    <row r="11258" spans="1:6" x14ac:dyDescent="0.4">
      <c r="A11258" s="4"/>
      <c r="B11258" s="4"/>
      <c r="D11258" s="4"/>
      <c r="E11258" s="4"/>
      <c r="F11258" s="4"/>
    </row>
    <row r="11259" spans="1:6" x14ac:dyDescent="0.4">
      <c r="A11259" s="4"/>
      <c r="B11259" s="4"/>
      <c r="D11259" s="4"/>
      <c r="E11259" s="4"/>
      <c r="F11259" s="4"/>
    </row>
    <row r="11260" spans="1:6" x14ac:dyDescent="0.4">
      <c r="A11260" s="4"/>
      <c r="B11260" s="4"/>
      <c r="D11260" s="4"/>
      <c r="E11260" s="4"/>
      <c r="F11260" s="4"/>
    </row>
    <row r="11261" spans="1:6" x14ac:dyDescent="0.4">
      <c r="A11261" s="4"/>
      <c r="B11261" s="4"/>
      <c r="D11261" s="4"/>
      <c r="E11261" s="4"/>
      <c r="F11261" s="4"/>
    </row>
    <row r="11262" spans="1:6" x14ac:dyDescent="0.4">
      <c r="A11262" s="4"/>
      <c r="B11262" s="4"/>
      <c r="D11262" s="4"/>
      <c r="E11262" s="4"/>
      <c r="F11262" s="4"/>
    </row>
    <row r="11263" spans="1:6" x14ac:dyDescent="0.4">
      <c r="A11263" s="4"/>
      <c r="B11263" s="4"/>
      <c r="D11263" s="4"/>
      <c r="E11263" s="4"/>
      <c r="F11263" s="4"/>
    </row>
    <row r="11264" spans="1:6" x14ac:dyDescent="0.4">
      <c r="A11264" s="4"/>
      <c r="B11264" s="4"/>
      <c r="D11264" s="4"/>
      <c r="E11264" s="4"/>
      <c r="F11264" s="4"/>
    </row>
    <row r="11265" spans="1:6" x14ac:dyDescent="0.4">
      <c r="A11265" s="4"/>
      <c r="B11265" s="4"/>
      <c r="D11265" s="4"/>
      <c r="E11265" s="4"/>
      <c r="F11265" s="4"/>
    </row>
    <row r="11266" spans="1:6" x14ac:dyDescent="0.4">
      <c r="A11266" s="4"/>
      <c r="B11266" s="4"/>
      <c r="D11266" s="4"/>
      <c r="E11266" s="4"/>
      <c r="F11266" s="4"/>
    </row>
    <row r="11267" spans="1:6" x14ac:dyDescent="0.4">
      <c r="A11267" s="4"/>
      <c r="B11267" s="4"/>
      <c r="D11267" s="4"/>
      <c r="E11267" s="4"/>
      <c r="F11267" s="4"/>
    </row>
    <row r="11268" spans="1:6" x14ac:dyDescent="0.4">
      <c r="A11268" s="4"/>
      <c r="B11268" s="4"/>
      <c r="D11268" s="4"/>
      <c r="E11268" s="4"/>
      <c r="F11268" s="4"/>
    </row>
    <row r="11269" spans="1:6" x14ac:dyDescent="0.4">
      <c r="A11269" s="4"/>
      <c r="B11269" s="4"/>
      <c r="D11269" s="4"/>
      <c r="E11269" s="4"/>
      <c r="F11269" s="4"/>
    </row>
    <row r="11270" spans="1:6" x14ac:dyDescent="0.4">
      <c r="A11270" s="4"/>
      <c r="B11270" s="4"/>
      <c r="D11270" s="4"/>
      <c r="E11270" s="4"/>
      <c r="F11270" s="4"/>
    </row>
    <row r="11271" spans="1:6" x14ac:dyDescent="0.4">
      <c r="A11271" s="4"/>
      <c r="B11271" s="4"/>
      <c r="D11271" s="4"/>
      <c r="E11271" s="4"/>
      <c r="F11271" s="4"/>
    </row>
    <row r="11272" spans="1:6" x14ac:dyDescent="0.4">
      <c r="A11272" s="4"/>
      <c r="B11272" s="4"/>
      <c r="D11272" s="4"/>
      <c r="E11272" s="4"/>
      <c r="F11272" s="4"/>
    </row>
    <row r="11273" spans="1:6" x14ac:dyDescent="0.4">
      <c r="A11273" s="4"/>
      <c r="B11273" s="4"/>
      <c r="D11273" s="4"/>
      <c r="E11273" s="4"/>
      <c r="F11273" s="4"/>
    </row>
    <row r="11274" spans="1:6" x14ac:dyDescent="0.4">
      <c r="A11274" s="4"/>
      <c r="B11274" s="4"/>
      <c r="D11274" s="4"/>
      <c r="E11274" s="4"/>
      <c r="F11274" s="4"/>
    </row>
    <row r="11275" spans="1:6" x14ac:dyDescent="0.4">
      <c r="A11275" s="4"/>
      <c r="B11275" s="4"/>
      <c r="D11275" s="4"/>
      <c r="E11275" s="4"/>
      <c r="F11275" s="4"/>
    </row>
    <row r="11276" spans="1:6" x14ac:dyDescent="0.4">
      <c r="A11276" s="4"/>
      <c r="B11276" s="4"/>
      <c r="D11276" s="4"/>
      <c r="E11276" s="4"/>
      <c r="F11276" s="4"/>
    </row>
    <row r="11277" spans="1:6" x14ac:dyDescent="0.4">
      <c r="A11277" s="4"/>
      <c r="B11277" s="4"/>
      <c r="D11277" s="4"/>
      <c r="E11277" s="4"/>
      <c r="F11277" s="4"/>
    </row>
    <row r="11278" spans="1:6" x14ac:dyDescent="0.4">
      <c r="A11278" s="4"/>
      <c r="B11278" s="4"/>
      <c r="D11278" s="4"/>
      <c r="E11278" s="4"/>
      <c r="F11278" s="4"/>
    </row>
    <row r="11279" spans="1:6" x14ac:dyDescent="0.4">
      <c r="A11279" s="4"/>
      <c r="B11279" s="4"/>
      <c r="D11279" s="4"/>
      <c r="E11279" s="4"/>
      <c r="F11279" s="4"/>
    </row>
    <row r="11280" spans="1:6" x14ac:dyDescent="0.4">
      <c r="A11280" s="4"/>
      <c r="B11280" s="4"/>
      <c r="D11280" s="4"/>
      <c r="E11280" s="4"/>
      <c r="F11280" s="4"/>
    </row>
    <row r="11281" spans="1:6" x14ac:dyDescent="0.4">
      <c r="A11281" s="4"/>
      <c r="B11281" s="4"/>
      <c r="D11281" s="4"/>
      <c r="E11281" s="4"/>
      <c r="F11281" s="4"/>
    </row>
    <row r="11282" spans="1:6" x14ac:dyDescent="0.4">
      <c r="A11282" s="4"/>
      <c r="B11282" s="4"/>
      <c r="D11282" s="4"/>
      <c r="E11282" s="4"/>
      <c r="F11282" s="4"/>
    </row>
    <row r="11283" spans="1:6" x14ac:dyDescent="0.4">
      <c r="A11283" s="4"/>
      <c r="B11283" s="4"/>
      <c r="D11283" s="4"/>
      <c r="E11283" s="4"/>
      <c r="F11283" s="4"/>
    </row>
    <row r="11284" spans="1:6" x14ac:dyDescent="0.4">
      <c r="A11284" s="4"/>
      <c r="B11284" s="4"/>
      <c r="D11284" s="4"/>
      <c r="E11284" s="4"/>
      <c r="F11284" s="4"/>
    </row>
    <row r="11285" spans="1:6" x14ac:dyDescent="0.4">
      <c r="A11285" s="4"/>
      <c r="B11285" s="4"/>
      <c r="D11285" s="4"/>
      <c r="E11285" s="4"/>
      <c r="F11285" s="4"/>
    </row>
    <row r="11286" spans="1:6" x14ac:dyDescent="0.4">
      <c r="A11286" s="4"/>
      <c r="B11286" s="4"/>
      <c r="D11286" s="4"/>
      <c r="E11286" s="4"/>
      <c r="F11286" s="4"/>
    </row>
    <row r="11287" spans="1:6" x14ac:dyDescent="0.4">
      <c r="A11287" s="4"/>
      <c r="B11287" s="4"/>
      <c r="D11287" s="4"/>
      <c r="E11287" s="4"/>
      <c r="F11287" s="4"/>
    </row>
    <row r="11288" spans="1:6" x14ac:dyDescent="0.4">
      <c r="A11288" s="4"/>
      <c r="B11288" s="4"/>
      <c r="D11288" s="4"/>
      <c r="E11288" s="4"/>
      <c r="F11288" s="4"/>
    </row>
    <row r="11289" spans="1:6" x14ac:dyDescent="0.4">
      <c r="A11289" s="4"/>
      <c r="B11289" s="4"/>
      <c r="D11289" s="4"/>
      <c r="E11289" s="4"/>
      <c r="F11289" s="4"/>
    </row>
    <row r="11290" spans="1:6" x14ac:dyDescent="0.4">
      <c r="A11290" s="4"/>
      <c r="B11290" s="4"/>
      <c r="D11290" s="4"/>
      <c r="E11290" s="4"/>
      <c r="F11290" s="4"/>
    </row>
    <row r="11291" spans="1:6" x14ac:dyDescent="0.4">
      <c r="A11291" s="4"/>
      <c r="B11291" s="4"/>
      <c r="D11291" s="4"/>
      <c r="E11291" s="4"/>
      <c r="F11291" s="4"/>
    </row>
    <row r="11292" spans="1:6" x14ac:dyDescent="0.4">
      <c r="A11292" s="4"/>
      <c r="B11292" s="4"/>
      <c r="D11292" s="4"/>
      <c r="E11292" s="4"/>
      <c r="F11292" s="4"/>
    </row>
    <row r="11293" spans="1:6" x14ac:dyDescent="0.4">
      <c r="A11293" s="4"/>
      <c r="B11293" s="4"/>
      <c r="D11293" s="4"/>
      <c r="E11293" s="4"/>
      <c r="F11293" s="4"/>
    </row>
    <row r="11294" spans="1:6" x14ac:dyDescent="0.4">
      <c r="A11294" s="4"/>
      <c r="B11294" s="4"/>
      <c r="D11294" s="4"/>
      <c r="E11294" s="4"/>
      <c r="F11294" s="4"/>
    </row>
    <row r="11295" spans="1:6" x14ac:dyDescent="0.4">
      <c r="A11295" s="4"/>
      <c r="B11295" s="4"/>
      <c r="D11295" s="4"/>
      <c r="E11295" s="4"/>
      <c r="F11295" s="4"/>
    </row>
    <row r="11296" spans="1:6" x14ac:dyDescent="0.4">
      <c r="A11296" s="4"/>
      <c r="B11296" s="4"/>
      <c r="D11296" s="4"/>
      <c r="E11296" s="4"/>
      <c r="F11296" s="4"/>
    </row>
    <row r="11297" spans="1:6" x14ac:dyDescent="0.4">
      <c r="A11297" s="4"/>
      <c r="B11297" s="4"/>
      <c r="D11297" s="4"/>
      <c r="E11297" s="4"/>
      <c r="F11297" s="4"/>
    </row>
    <row r="11298" spans="1:6" x14ac:dyDescent="0.4">
      <c r="A11298" s="4"/>
      <c r="B11298" s="4"/>
      <c r="D11298" s="4"/>
      <c r="E11298" s="4"/>
      <c r="F11298" s="4"/>
    </row>
    <row r="11299" spans="1:6" x14ac:dyDescent="0.4">
      <c r="A11299" s="4"/>
      <c r="B11299" s="4"/>
      <c r="D11299" s="4"/>
      <c r="E11299" s="4"/>
      <c r="F11299" s="4"/>
    </row>
    <row r="11300" spans="1:6" x14ac:dyDescent="0.4">
      <c r="A11300" s="4"/>
      <c r="B11300" s="4"/>
      <c r="D11300" s="4"/>
      <c r="E11300" s="4"/>
      <c r="F11300" s="4"/>
    </row>
    <row r="11301" spans="1:6" x14ac:dyDescent="0.4">
      <c r="A11301" s="4"/>
      <c r="B11301" s="4"/>
      <c r="D11301" s="4"/>
      <c r="E11301" s="4"/>
      <c r="F11301" s="4"/>
    </row>
    <row r="11302" spans="1:6" x14ac:dyDescent="0.4">
      <c r="A11302" s="4"/>
      <c r="B11302" s="4"/>
      <c r="D11302" s="4"/>
      <c r="E11302" s="4"/>
      <c r="F11302" s="4"/>
    </row>
    <row r="11303" spans="1:6" x14ac:dyDescent="0.4">
      <c r="A11303" s="4"/>
      <c r="B11303" s="4"/>
      <c r="D11303" s="4"/>
      <c r="E11303" s="4"/>
      <c r="F11303" s="4"/>
    </row>
    <row r="11304" spans="1:6" x14ac:dyDescent="0.4">
      <c r="A11304" s="4"/>
      <c r="B11304" s="4"/>
      <c r="D11304" s="4"/>
      <c r="E11304" s="4"/>
      <c r="F11304" s="4"/>
    </row>
    <row r="11305" spans="1:6" x14ac:dyDescent="0.4">
      <c r="A11305" s="4"/>
      <c r="B11305" s="4"/>
      <c r="D11305" s="4"/>
      <c r="E11305" s="4"/>
      <c r="F11305" s="4"/>
    </row>
    <row r="11306" spans="1:6" x14ac:dyDescent="0.4">
      <c r="A11306" s="4"/>
      <c r="B11306" s="4"/>
      <c r="D11306" s="4"/>
      <c r="E11306" s="4"/>
      <c r="F11306" s="4"/>
    </row>
    <row r="11307" spans="1:6" x14ac:dyDescent="0.4">
      <c r="A11307" s="4"/>
      <c r="B11307" s="4"/>
      <c r="D11307" s="4"/>
      <c r="E11307" s="4"/>
      <c r="F11307" s="4"/>
    </row>
    <row r="11308" spans="1:6" x14ac:dyDescent="0.4">
      <c r="A11308" s="4"/>
      <c r="B11308" s="4"/>
      <c r="D11308" s="4"/>
      <c r="E11308" s="4"/>
      <c r="F11308" s="4"/>
    </row>
    <row r="11309" spans="1:6" x14ac:dyDescent="0.4">
      <c r="A11309" s="4"/>
      <c r="B11309" s="4"/>
      <c r="D11309" s="4"/>
      <c r="E11309" s="4"/>
      <c r="F11309" s="4"/>
    </row>
    <row r="11310" spans="1:6" x14ac:dyDescent="0.4">
      <c r="A11310" s="4"/>
      <c r="B11310" s="4"/>
      <c r="D11310" s="4"/>
      <c r="E11310" s="4"/>
      <c r="F11310" s="4"/>
    </row>
    <row r="11311" spans="1:6" x14ac:dyDescent="0.4">
      <c r="A11311" s="4"/>
      <c r="B11311" s="4"/>
      <c r="D11311" s="4"/>
      <c r="E11311" s="4"/>
      <c r="F11311" s="4"/>
    </row>
    <row r="11312" spans="1:6" x14ac:dyDescent="0.4">
      <c r="A11312" s="4"/>
      <c r="B11312" s="4"/>
      <c r="D11312" s="4"/>
      <c r="E11312" s="4"/>
      <c r="F11312" s="4"/>
    </row>
    <row r="11313" spans="1:6" x14ac:dyDescent="0.4">
      <c r="A11313" s="4"/>
      <c r="B11313" s="4"/>
      <c r="D11313" s="4"/>
      <c r="E11313" s="4"/>
      <c r="F11313" s="4"/>
    </row>
    <row r="11314" spans="1:6" x14ac:dyDescent="0.4">
      <c r="A11314" s="4"/>
      <c r="B11314" s="4"/>
      <c r="D11314" s="4"/>
      <c r="E11314" s="4"/>
      <c r="F11314" s="4"/>
    </row>
    <row r="11315" spans="1:6" x14ac:dyDescent="0.4">
      <c r="A11315" s="4"/>
      <c r="B11315" s="4"/>
      <c r="D11315" s="4"/>
      <c r="E11315" s="4"/>
      <c r="F11315" s="4"/>
    </row>
    <row r="11316" spans="1:6" x14ac:dyDescent="0.4">
      <c r="A11316" s="4"/>
      <c r="B11316" s="4"/>
      <c r="D11316" s="4"/>
      <c r="E11316" s="4"/>
      <c r="F11316" s="4"/>
    </row>
    <row r="11317" spans="1:6" x14ac:dyDescent="0.4">
      <c r="A11317" s="4"/>
      <c r="B11317" s="4"/>
      <c r="D11317" s="4"/>
      <c r="E11317" s="4"/>
      <c r="F11317" s="4"/>
    </row>
    <row r="11318" spans="1:6" x14ac:dyDescent="0.4">
      <c r="A11318" s="4"/>
      <c r="B11318" s="4"/>
      <c r="D11318" s="4"/>
      <c r="E11318" s="4"/>
      <c r="F11318" s="4"/>
    </row>
    <row r="11319" spans="1:6" x14ac:dyDescent="0.4">
      <c r="A11319" s="4"/>
      <c r="B11319" s="4"/>
      <c r="D11319" s="4"/>
      <c r="E11319" s="4"/>
      <c r="F11319" s="4"/>
    </row>
    <row r="11320" spans="1:6" x14ac:dyDescent="0.4">
      <c r="A11320" s="4"/>
      <c r="B11320" s="4"/>
      <c r="D11320" s="4"/>
      <c r="E11320" s="4"/>
      <c r="F11320" s="4"/>
    </row>
    <row r="11321" spans="1:6" x14ac:dyDescent="0.4">
      <c r="A11321" s="4"/>
      <c r="B11321" s="4"/>
      <c r="D11321" s="4"/>
      <c r="E11321" s="4"/>
      <c r="F11321" s="4"/>
    </row>
    <row r="11322" spans="1:6" x14ac:dyDescent="0.4">
      <c r="A11322" s="4"/>
      <c r="B11322" s="4"/>
      <c r="D11322" s="4"/>
      <c r="E11322" s="4"/>
      <c r="F11322" s="4"/>
    </row>
    <row r="11323" spans="1:6" x14ac:dyDescent="0.4">
      <c r="A11323" s="4"/>
      <c r="B11323" s="4"/>
      <c r="D11323" s="4"/>
      <c r="E11323" s="4"/>
      <c r="F11323" s="4"/>
    </row>
    <row r="11324" spans="1:6" x14ac:dyDescent="0.4">
      <c r="A11324" s="4"/>
      <c r="B11324" s="4"/>
      <c r="D11324" s="4"/>
      <c r="E11324" s="4"/>
      <c r="F11324" s="4"/>
    </row>
    <row r="11325" spans="1:6" x14ac:dyDescent="0.4">
      <c r="A11325" s="4"/>
      <c r="B11325" s="4"/>
      <c r="D11325" s="4"/>
      <c r="E11325" s="4"/>
      <c r="F11325" s="4"/>
    </row>
    <row r="11326" spans="1:6" x14ac:dyDescent="0.4">
      <c r="A11326" s="4"/>
      <c r="B11326" s="4"/>
      <c r="D11326" s="4"/>
      <c r="E11326" s="4"/>
      <c r="F11326" s="4"/>
    </row>
    <row r="11327" spans="1:6" x14ac:dyDescent="0.4">
      <c r="A11327" s="4"/>
      <c r="B11327" s="4"/>
      <c r="D11327" s="4"/>
      <c r="E11327" s="4"/>
      <c r="F11327" s="4"/>
    </row>
    <row r="11328" spans="1:6" x14ac:dyDescent="0.4">
      <c r="A11328" s="4"/>
      <c r="B11328" s="4"/>
      <c r="D11328" s="4"/>
      <c r="E11328" s="4"/>
      <c r="F11328" s="4"/>
    </row>
    <row r="11329" spans="1:6" x14ac:dyDescent="0.4">
      <c r="A11329" s="4"/>
      <c r="B11329" s="4"/>
      <c r="D11329" s="4"/>
      <c r="E11329" s="4"/>
      <c r="F11329" s="4"/>
    </row>
    <row r="11330" spans="1:6" x14ac:dyDescent="0.4">
      <c r="A11330" s="4"/>
      <c r="B11330" s="4"/>
      <c r="D11330" s="4"/>
      <c r="E11330" s="4"/>
      <c r="F11330" s="4"/>
    </row>
    <row r="11331" spans="1:6" x14ac:dyDescent="0.4">
      <c r="A11331" s="4"/>
      <c r="B11331" s="4"/>
      <c r="D11331" s="4"/>
      <c r="E11331" s="4"/>
      <c r="F11331" s="4"/>
    </row>
    <row r="11332" spans="1:6" x14ac:dyDescent="0.4">
      <c r="A11332" s="4"/>
      <c r="B11332" s="4"/>
      <c r="D11332" s="4"/>
      <c r="E11332" s="4"/>
      <c r="F11332" s="4"/>
    </row>
    <row r="11333" spans="1:6" x14ac:dyDescent="0.4">
      <c r="A11333" s="4"/>
      <c r="B11333" s="4"/>
      <c r="D11333" s="4"/>
      <c r="E11333" s="4"/>
      <c r="F11333" s="4"/>
    </row>
    <row r="11334" spans="1:6" x14ac:dyDescent="0.4">
      <c r="A11334" s="4"/>
      <c r="B11334" s="4"/>
      <c r="D11334" s="4"/>
      <c r="E11334" s="4"/>
      <c r="F11334" s="4"/>
    </row>
    <row r="11335" spans="1:6" x14ac:dyDescent="0.4">
      <c r="A11335" s="4"/>
      <c r="B11335" s="4"/>
      <c r="D11335" s="4"/>
      <c r="E11335" s="4"/>
      <c r="F11335" s="4"/>
    </row>
    <row r="11336" spans="1:6" x14ac:dyDescent="0.4">
      <c r="A11336" s="4"/>
      <c r="B11336" s="4"/>
      <c r="D11336" s="4"/>
      <c r="E11336" s="4"/>
      <c r="F11336" s="4"/>
    </row>
    <row r="11337" spans="1:6" x14ac:dyDescent="0.4">
      <c r="A11337" s="4"/>
      <c r="B11337" s="4"/>
      <c r="D11337" s="4"/>
      <c r="E11337" s="4"/>
      <c r="F11337" s="4"/>
    </row>
    <row r="11338" spans="1:6" x14ac:dyDescent="0.4">
      <c r="A11338" s="4"/>
      <c r="B11338" s="4"/>
      <c r="D11338" s="4"/>
      <c r="E11338" s="4"/>
      <c r="F11338" s="4"/>
    </row>
    <row r="11339" spans="1:6" x14ac:dyDescent="0.4">
      <c r="A11339" s="4"/>
      <c r="B11339" s="4"/>
      <c r="D11339" s="4"/>
      <c r="E11339" s="4"/>
      <c r="F11339" s="4"/>
    </row>
    <row r="11340" spans="1:6" x14ac:dyDescent="0.4">
      <c r="A11340" s="4"/>
      <c r="B11340" s="4"/>
      <c r="D11340" s="4"/>
      <c r="E11340" s="4"/>
      <c r="F11340" s="4"/>
    </row>
    <row r="11341" spans="1:6" x14ac:dyDescent="0.4">
      <c r="A11341" s="4"/>
      <c r="B11341" s="4"/>
      <c r="D11341" s="4"/>
      <c r="E11341" s="4"/>
      <c r="F11341" s="4"/>
    </row>
    <row r="11342" spans="1:6" x14ac:dyDescent="0.4">
      <c r="A11342" s="4"/>
      <c r="B11342" s="4"/>
      <c r="D11342" s="4"/>
      <c r="E11342" s="4"/>
      <c r="F11342" s="4"/>
    </row>
    <row r="11343" spans="1:6" x14ac:dyDescent="0.4">
      <c r="A11343" s="4"/>
      <c r="B11343" s="4"/>
      <c r="D11343" s="4"/>
      <c r="E11343" s="4"/>
      <c r="F11343" s="4"/>
    </row>
    <row r="11344" spans="1:6" x14ac:dyDescent="0.4">
      <c r="A11344" s="4"/>
      <c r="B11344" s="4"/>
      <c r="D11344" s="4"/>
      <c r="E11344" s="4"/>
      <c r="F11344" s="4"/>
    </row>
    <row r="11345" spans="1:6" x14ac:dyDescent="0.4">
      <c r="A11345" s="4"/>
      <c r="B11345" s="4"/>
      <c r="D11345" s="4"/>
      <c r="E11345" s="4"/>
      <c r="F11345" s="4"/>
    </row>
    <row r="11346" spans="1:6" x14ac:dyDescent="0.4">
      <c r="A11346" s="4"/>
      <c r="B11346" s="4"/>
      <c r="D11346" s="4"/>
      <c r="E11346" s="4"/>
      <c r="F11346" s="4"/>
    </row>
    <row r="11347" spans="1:6" x14ac:dyDescent="0.4">
      <c r="A11347" s="4"/>
      <c r="B11347" s="4"/>
      <c r="D11347" s="4"/>
      <c r="E11347" s="4"/>
      <c r="F11347" s="4"/>
    </row>
    <row r="11348" spans="1:6" x14ac:dyDescent="0.4">
      <c r="A11348" s="4"/>
      <c r="B11348" s="4"/>
      <c r="D11348" s="4"/>
      <c r="E11348" s="4"/>
      <c r="F11348" s="4"/>
    </row>
    <row r="11349" spans="1:6" x14ac:dyDescent="0.4">
      <c r="A11349" s="4"/>
      <c r="B11349" s="4"/>
      <c r="D11349" s="4"/>
      <c r="E11349" s="4"/>
      <c r="F11349" s="4"/>
    </row>
    <row r="11350" spans="1:6" x14ac:dyDescent="0.4">
      <c r="A11350" s="4"/>
      <c r="B11350" s="4"/>
      <c r="D11350" s="4"/>
      <c r="E11350" s="4"/>
      <c r="F11350" s="4"/>
    </row>
    <row r="11351" spans="1:6" x14ac:dyDescent="0.4">
      <c r="A11351" s="4"/>
      <c r="B11351" s="4"/>
      <c r="D11351" s="4"/>
      <c r="E11351" s="4"/>
      <c r="F11351" s="4"/>
    </row>
    <row r="11352" spans="1:6" x14ac:dyDescent="0.4">
      <c r="A11352" s="4"/>
      <c r="B11352" s="4"/>
      <c r="D11352" s="4"/>
      <c r="E11352" s="4"/>
      <c r="F11352" s="4"/>
    </row>
    <row r="11353" spans="1:6" x14ac:dyDescent="0.4">
      <c r="A11353" s="4"/>
      <c r="B11353" s="4"/>
      <c r="D11353" s="4"/>
      <c r="E11353" s="4"/>
      <c r="F11353" s="4"/>
    </row>
    <row r="11354" spans="1:6" x14ac:dyDescent="0.4">
      <c r="A11354" s="4"/>
      <c r="B11354" s="4"/>
      <c r="D11354" s="4"/>
      <c r="E11354" s="4"/>
      <c r="F11354" s="4"/>
    </row>
    <row r="11355" spans="1:6" x14ac:dyDescent="0.4">
      <c r="A11355" s="4"/>
      <c r="B11355" s="4"/>
      <c r="D11355" s="4"/>
      <c r="E11355" s="4"/>
      <c r="F11355" s="4"/>
    </row>
    <row r="11356" spans="1:6" x14ac:dyDescent="0.4">
      <c r="A11356" s="4"/>
      <c r="B11356" s="4"/>
      <c r="D11356" s="4"/>
      <c r="E11356" s="4"/>
      <c r="F11356" s="4"/>
    </row>
    <row r="11357" spans="1:6" x14ac:dyDescent="0.4">
      <c r="A11357" s="4"/>
      <c r="B11357" s="4"/>
      <c r="D11357" s="4"/>
      <c r="E11357" s="4"/>
      <c r="F11357" s="4"/>
    </row>
    <row r="11358" spans="1:6" x14ac:dyDescent="0.4">
      <c r="A11358" s="4"/>
      <c r="B11358" s="4"/>
      <c r="D11358" s="4"/>
      <c r="E11358" s="4"/>
      <c r="F11358" s="4"/>
    </row>
    <row r="11359" spans="1:6" x14ac:dyDescent="0.4">
      <c r="A11359" s="4"/>
      <c r="B11359" s="4"/>
      <c r="D11359" s="4"/>
      <c r="E11359" s="4"/>
      <c r="F11359" s="4"/>
    </row>
    <row r="11360" spans="1:6" x14ac:dyDescent="0.4">
      <c r="A11360" s="4"/>
      <c r="B11360" s="4"/>
      <c r="D11360" s="4"/>
      <c r="E11360" s="4"/>
      <c r="F11360" s="4"/>
    </row>
    <row r="11361" spans="1:6" x14ac:dyDescent="0.4">
      <c r="A11361" s="4"/>
      <c r="B11361" s="4"/>
      <c r="D11361" s="4"/>
      <c r="E11361" s="4"/>
      <c r="F11361" s="4"/>
    </row>
    <row r="11362" spans="1:6" x14ac:dyDescent="0.4">
      <c r="A11362" s="4"/>
      <c r="B11362" s="4"/>
      <c r="D11362" s="4"/>
      <c r="E11362" s="4"/>
      <c r="F11362" s="4"/>
    </row>
    <row r="11363" spans="1:6" x14ac:dyDescent="0.4">
      <c r="A11363" s="4"/>
      <c r="B11363" s="4"/>
      <c r="D11363" s="4"/>
      <c r="E11363" s="4"/>
      <c r="F11363" s="4"/>
    </row>
    <row r="11364" spans="1:6" x14ac:dyDescent="0.4">
      <c r="A11364" s="4"/>
      <c r="B11364" s="4"/>
      <c r="D11364" s="4"/>
      <c r="E11364" s="4"/>
      <c r="F11364" s="4"/>
    </row>
    <row r="11365" spans="1:6" x14ac:dyDescent="0.4">
      <c r="A11365" s="4"/>
      <c r="B11365" s="4"/>
      <c r="D11365" s="4"/>
      <c r="E11365" s="4"/>
      <c r="F11365" s="4"/>
    </row>
    <row r="11366" spans="1:6" x14ac:dyDescent="0.4">
      <c r="A11366" s="4"/>
      <c r="B11366" s="4"/>
      <c r="D11366" s="4"/>
      <c r="E11366" s="4"/>
      <c r="F11366" s="4"/>
    </row>
    <row r="11367" spans="1:6" x14ac:dyDescent="0.4">
      <c r="A11367" s="4"/>
      <c r="B11367" s="4"/>
      <c r="D11367" s="4"/>
      <c r="E11367" s="4"/>
      <c r="F11367" s="4"/>
    </row>
    <row r="11368" spans="1:6" x14ac:dyDescent="0.4">
      <c r="A11368" s="4"/>
      <c r="B11368" s="4"/>
      <c r="D11368" s="4"/>
      <c r="E11368" s="4"/>
      <c r="F11368" s="4"/>
    </row>
    <row r="11369" spans="1:6" x14ac:dyDescent="0.4">
      <c r="A11369" s="4"/>
      <c r="B11369" s="4"/>
      <c r="D11369" s="4"/>
      <c r="E11369" s="4"/>
      <c r="F11369" s="4"/>
    </row>
    <row r="11370" spans="1:6" x14ac:dyDescent="0.4">
      <c r="A11370" s="4"/>
      <c r="B11370" s="4"/>
      <c r="D11370" s="4"/>
      <c r="E11370" s="4"/>
      <c r="F11370" s="4"/>
    </row>
    <row r="11371" spans="1:6" x14ac:dyDescent="0.4">
      <c r="A11371" s="4"/>
      <c r="B11371" s="4"/>
      <c r="D11371" s="4"/>
      <c r="E11371" s="4"/>
      <c r="F11371" s="4"/>
    </row>
    <row r="11372" spans="1:6" x14ac:dyDescent="0.4">
      <c r="A11372" s="4"/>
      <c r="B11372" s="4"/>
      <c r="D11372" s="4"/>
      <c r="E11372" s="4"/>
      <c r="F11372" s="4"/>
    </row>
    <row r="11373" spans="1:6" x14ac:dyDescent="0.4">
      <c r="A11373" s="4"/>
      <c r="B11373" s="4"/>
      <c r="D11373" s="4"/>
      <c r="E11373" s="4"/>
      <c r="F11373" s="4"/>
    </row>
    <row r="11374" spans="1:6" x14ac:dyDescent="0.4">
      <c r="A11374" s="4"/>
      <c r="B11374" s="4"/>
      <c r="D11374" s="4"/>
      <c r="E11374" s="4"/>
      <c r="F11374" s="4"/>
    </row>
    <row r="11375" spans="1:6" x14ac:dyDescent="0.4">
      <c r="A11375" s="4"/>
      <c r="B11375" s="4"/>
      <c r="D11375" s="4"/>
      <c r="E11375" s="4"/>
      <c r="F11375" s="4"/>
    </row>
    <row r="11376" spans="1:6" x14ac:dyDescent="0.4">
      <c r="A11376" s="4"/>
      <c r="B11376" s="4"/>
      <c r="D11376" s="4"/>
      <c r="E11376" s="4"/>
      <c r="F11376" s="4"/>
    </row>
    <row r="11377" spans="1:6" x14ac:dyDescent="0.4">
      <c r="A11377" s="4"/>
      <c r="B11377" s="4"/>
      <c r="D11377" s="4"/>
      <c r="E11377" s="4"/>
      <c r="F11377" s="4"/>
    </row>
    <row r="11378" spans="1:6" x14ac:dyDescent="0.4">
      <c r="A11378" s="4"/>
      <c r="B11378" s="4"/>
      <c r="D11378" s="4"/>
      <c r="E11378" s="4"/>
      <c r="F11378" s="4"/>
    </row>
    <row r="11379" spans="1:6" x14ac:dyDescent="0.4">
      <c r="A11379" s="4"/>
      <c r="B11379" s="4"/>
      <c r="D11379" s="4"/>
      <c r="E11379" s="4"/>
      <c r="F11379" s="4"/>
    </row>
    <row r="11380" spans="1:6" x14ac:dyDescent="0.4">
      <c r="A11380" s="4"/>
      <c r="B11380" s="4"/>
      <c r="D11380" s="4"/>
      <c r="E11380" s="4"/>
      <c r="F11380" s="4"/>
    </row>
    <row r="11381" spans="1:6" x14ac:dyDescent="0.4">
      <c r="A11381" s="4"/>
      <c r="B11381" s="4"/>
      <c r="D11381" s="4"/>
      <c r="E11381" s="4"/>
      <c r="F11381" s="4"/>
    </row>
    <row r="11382" spans="1:6" x14ac:dyDescent="0.4">
      <c r="A11382" s="4"/>
      <c r="B11382" s="4"/>
      <c r="D11382" s="4"/>
      <c r="E11382" s="4"/>
      <c r="F11382" s="4"/>
    </row>
    <row r="11383" spans="1:6" x14ac:dyDescent="0.4">
      <c r="A11383" s="4"/>
      <c r="B11383" s="4"/>
      <c r="D11383" s="4"/>
      <c r="E11383" s="4"/>
      <c r="F11383" s="4"/>
    </row>
    <row r="11384" spans="1:6" x14ac:dyDescent="0.4">
      <c r="A11384" s="4"/>
      <c r="B11384" s="4"/>
      <c r="D11384" s="4"/>
      <c r="E11384" s="4"/>
      <c r="F11384" s="4"/>
    </row>
    <row r="11385" spans="1:6" x14ac:dyDescent="0.4">
      <c r="A11385" s="4"/>
      <c r="B11385" s="4"/>
      <c r="D11385" s="4"/>
      <c r="E11385" s="4"/>
      <c r="F11385" s="4"/>
    </row>
    <row r="11386" spans="1:6" x14ac:dyDescent="0.4">
      <c r="A11386" s="4"/>
      <c r="B11386" s="4"/>
      <c r="D11386" s="4"/>
      <c r="E11386" s="4"/>
      <c r="F11386" s="4"/>
    </row>
    <row r="11387" spans="1:6" x14ac:dyDescent="0.4">
      <c r="A11387" s="4"/>
      <c r="B11387" s="4"/>
      <c r="D11387" s="4"/>
      <c r="E11387" s="4"/>
      <c r="F11387" s="4"/>
    </row>
    <row r="11388" spans="1:6" x14ac:dyDescent="0.4">
      <c r="A11388" s="4"/>
      <c r="B11388" s="4"/>
      <c r="D11388" s="4"/>
      <c r="E11388" s="4"/>
      <c r="F11388" s="4"/>
    </row>
    <row r="11389" spans="1:6" x14ac:dyDescent="0.4">
      <c r="A11389" s="4"/>
      <c r="B11389" s="4"/>
      <c r="D11389" s="4"/>
      <c r="E11389" s="4"/>
      <c r="F11389" s="4"/>
    </row>
    <row r="11390" spans="1:6" x14ac:dyDescent="0.4">
      <c r="A11390" s="4"/>
      <c r="B11390" s="4"/>
      <c r="D11390" s="4"/>
      <c r="E11390" s="4"/>
      <c r="F11390" s="4"/>
    </row>
    <row r="11391" spans="1:6" x14ac:dyDescent="0.4">
      <c r="A11391" s="4"/>
      <c r="B11391" s="4"/>
      <c r="D11391" s="4"/>
      <c r="E11391" s="4"/>
      <c r="F11391" s="4"/>
    </row>
    <row r="11392" spans="1:6" x14ac:dyDescent="0.4">
      <c r="A11392" s="4"/>
      <c r="B11392" s="4"/>
      <c r="D11392" s="4"/>
      <c r="E11392" s="4"/>
      <c r="F11392" s="4"/>
    </row>
    <row r="11393" spans="1:6" x14ac:dyDescent="0.4">
      <c r="A11393" s="4"/>
      <c r="B11393" s="4"/>
      <c r="D11393" s="4"/>
      <c r="E11393" s="4"/>
      <c r="F11393" s="4"/>
    </row>
    <row r="11394" spans="1:6" x14ac:dyDescent="0.4">
      <c r="A11394" s="4"/>
      <c r="B11394" s="4"/>
      <c r="D11394" s="4"/>
      <c r="E11394" s="4"/>
      <c r="F11394" s="4"/>
    </row>
    <row r="11395" spans="1:6" x14ac:dyDescent="0.4">
      <c r="A11395" s="4"/>
      <c r="B11395" s="4"/>
      <c r="D11395" s="4"/>
      <c r="E11395" s="4"/>
      <c r="F11395" s="4"/>
    </row>
    <row r="11396" spans="1:6" x14ac:dyDescent="0.4">
      <c r="A11396" s="4"/>
      <c r="B11396" s="4"/>
      <c r="D11396" s="4"/>
      <c r="E11396" s="4"/>
      <c r="F11396" s="4"/>
    </row>
    <row r="11397" spans="1:6" x14ac:dyDescent="0.4">
      <c r="A11397" s="4"/>
      <c r="B11397" s="4"/>
      <c r="D11397" s="4"/>
      <c r="E11397" s="4"/>
      <c r="F11397" s="4"/>
    </row>
    <row r="11398" spans="1:6" x14ac:dyDescent="0.4">
      <c r="A11398" s="4"/>
      <c r="B11398" s="4"/>
      <c r="D11398" s="4"/>
      <c r="E11398" s="4"/>
      <c r="F11398" s="4"/>
    </row>
    <row r="11399" spans="1:6" x14ac:dyDescent="0.4">
      <c r="A11399" s="4"/>
      <c r="B11399" s="4"/>
      <c r="D11399" s="4"/>
      <c r="E11399" s="4"/>
      <c r="F11399" s="4"/>
    </row>
    <row r="11400" spans="1:6" x14ac:dyDescent="0.4">
      <c r="A11400" s="4"/>
      <c r="B11400" s="4"/>
      <c r="D11400" s="4"/>
      <c r="E11400" s="4"/>
      <c r="F11400" s="4"/>
    </row>
    <row r="11401" spans="1:6" x14ac:dyDescent="0.4">
      <c r="A11401" s="4"/>
      <c r="B11401" s="4"/>
      <c r="D11401" s="4"/>
      <c r="E11401" s="4"/>
      <c r="F11401" s="4"/>
    </row>
    <row r="11402" spans="1:6" x14ac:dyDescent="0.4">
      <c r="A11402" s="4"/>
      <c r="B11402" s="4"/>
      <c r="D11402" s="4"/>
      <c r="E11402" s="4"/>
      <c r="F11402" s="4"/>
    </row>
    <row r="11403" spans="1:6" x14ac:dyDescent="0.4">
      <c r="A11403" s="4"/>
      <c r="B11403" s="4"/>
      <c r="D11403" s="4"/>
      <c r="E11403" s="4"/>
      <c r="F11403" s="4"/>
    </row>
    <row r="11404" spans="1:6" x14ac:dyDescent="0.4">
      <c r="A11404" s="4"/>
      <c r="B11404" s="4"/>
      <c r="D11404" s="4"/>
      <c r="E11404" s="4"/>
      <c r="F11404" s="4"/>
    </row>
    <row r="11405" spans="1:6" x14ac:dyDescent="0.4">
      <c r="A11405" s="4"/>
      <c r="B11405" s="4"/>
      <c r="D11405" s="4"/>
      <c r="E11405" s="4"/>
      <c r="F11405" s="4"/>
    </row>
    <row r="11406" spans="1:6" x14ac:dyDescent="0.4">
      <c r="A11406" s="4"/>
      <c r="B11406" s="4"/>
      <c r="D11406" s="4"/>
      <c r="E11406" s="4"/>
      <c r="F11406" s="4"/>
    </row>
    <row r="11407" spans="1:6" x14ac:dyDescent="0.4">
      <c r="A11407" s="4"/>
      <c r="B11407" s="4"/>
      <c r="D11407" s="4"/>
      <c r="E11407" s="4"/>
      <c r="F11407" s="4"/>
    </row>
    <row r="11408" spans="1:6" x14ac:dyDescent="0.4">
      <c r="A11408" s="4"/>
      <c r="B11408" s="4"/>
      <c r="D11408" s="4"/>
      <c r="E11408" s="4"/>
      <c r="F11408" s="4"/>
    </row>
    <row r="11409" spans="1:6" x14ac:dyDescent="0.4">
      <c r="A11409" s="4"/>
      <c r="B11409" s="4"/>
      <c r="D11409" s="4"/>
      <c r="E11409" s="4"/>
      <c r="F11409" s="4"/>
    </row>
    <row r="11410" spans="1:6" x14ac:dyDescent="0.4">
      <c r="A11410" s="4"/>
      <c r="B11410" s="4"/>
      <c r="D11410" s="4"/>
      <c r="E11410" s="4"/>
      <c r="F11410" s="4"/>
    </row>
    <row r="11411" spans="1:6" x14ac:dyDescent="0.4">
      <c r="A11411" s="4"/>
      <c r="B11411" s="4"/>
      <c r="D11411" s="4"/>
      <c r="E11411" s="4"/>
      <c r="F11411" s="4"/>
    </row>
    <row r="11412" spans="1:6" x14ac:dyDescent="0.4">
      <c r="A11412" s="4"/>
      <c r="B11412" s="4"/>
      <c r="D11412" s="4"/>
      <c r="E11412" s="4"/>
      <c r="F11412" s="4"/>
    </row>
    <row r="11413" spans="1:6" x14ac:dyDescent="0.4">
      <c r="A11413" s="4"/>
      <c r="B11413" s="4"/>
      <c r="D11413" s="4"/>
      <c r="E11413" s="4"/>
      <c r="F11413" s="4"/>
    </row>
    <row r="11414" spans="1:6" x14ac:dyDescent="0.4">
      <c r="A11414" s="4"/>
      <c r="B11414" s="4"/>
      <c r="D11414" s="4"/>
      <c r="E11414" s="4"/>
      <c r="F11414" s="4"/>
    </row>
    <row r="11415" spans="1:6" x14ac:dyDescent="0.4">
      <c r="A11415" s="4"/>
      <c r="B11415" s="4"/>
      <c r="D11415" s="4"/>
      <c r="E11415" s="4"/>
      <c r="F11415" s="4"/>
    </row>
    <row r="11416" spans="1:6" x14ac:dyDescent="0.4">
      <c r="A11416" s="4"/>
      <c r="B11416" s="4"/>
      <c r="D11416" s="4"/>
      <c r="E11416" s="4"/>
      <c r="F11416" s="4"/>
    </row>
    <row r="11417" spans="1:6" x14ac:dyDescent="0.4">
      <c r="A11417" s="4"/>
      <c r="B11417" s="4"/>
      <c r="D11417" s="4"/>
      <c r="E11417" s="4"/>
      <c r="F11417" s="4"/>
    </row>
    <row r="11418" spans="1:6" x14ac:dyDescent="0.4">
      <c r="A11418" s="4"/>
      <c r="B11418" s="4"/>
      <c r="D11418" s="4"/>
      <c r="E11418" s="4"/>
      <c r="F11418" s="4"/>
    </row>
    <row r="11419" spans="1:6" x14ac:dyDescent="0.4">
      <c r="A11419" s="4"/>
      <c r="B11419" s="4"/>
      <c r="D11419" s="4"/>
      <c r="E11419" s="4"/>
      <c r="F11419" s="4"/>
    </row>
    <row r="11420" spans="1:6" x14ac:dyDescent="0.4">
      <c r="A11420" s="4"/>
      <c r="B11420" s="4"/>
      <c r="D11420" s="4"/>
      <c r="E11420" s="4"/>
      <c r="F11420" s="4"/>
    </row>
    <row r="11421" spans="1:6" x14ac:dyDescent="0.4">
      <c r="A11421" s="4"/>
      <c r="B11421" s="4"/>
      <c r="D11421" s="4"/>
      <c r="E11421" s="4"/>
      <c r="F11421" s="4"/>
    </row>
    <row r="11422" spans="1:6" x14ac:dyDescent="0.4">
      <c r="A11422" s="4"/>
      <c r="B11422" s="4"/>
      <c r="D11422" s="4"/>
      <c r="E11422" s="4"/>
      <c r="F11422" s="4"/>
    </row>
    <row r="11423" spans="1:6" x14ac:dyDescent="0.4">
      <c r="A11423" s="4"/>
      <c r="B11423" s="4"/>
      <c r="D11423" s="4"/>
      <c r="E11423" s="4"/>
      <c r="F11423" s="4"/>
    </row>
    <row r="11424" spans="1:6" x14ac:dyDescent="0.4">
      <c r="A11424" s="4"/>
      <c r="B11424" s="4"/>
      <c r="D11424" s="4"/>
      <c r="E11424" s="4"/>
      <c r="F11424" s="4"/>
    </row>
    <row r="11425" spans="1:6" x14ac:dyDescent="0.4">
      <c r="A11425" s="4"/>
      <c r="B11425" s="4"/>
      <c r="D11425" s="4"/>
      <c r="E11425" s="4"/>
      <c r="F11425" s="4"/>
    </row>
    <row r="11426" spans="1:6" x14ac:dyDescent="0.4">
      <c r="A11426" s="4"/>
      <c r="B11426" s="4"/>
      <c r="D11426" s="4"/>
      <c r="E11426" s="4"/>
      <c r="F11426" s="4"/>
    </row>
    <row r="11427" spans="1:6" x14ac:dyDescent="0.4">
      <c r="A11427" s="4"/>
      <c r="B11427" s="4"/>
      <c r="D11427" s="4"/>
      <c r="E11427" s="4"/>
      <c r="F11427" s="4"/>
    </row>
    <row r="11428" spans="1:6" x14ac:dyDescent="0.4">
      <c r="A11428" s="4"/>
      <c r="B11428" s="4"/>
      <c r="D11428" s="4"/>
      <c r="E11428" s="4"/>
      <c r="F11428" s="4"/>
    </row>
    <row r="11429" spans="1:6" x14ac:dyDescent="0.4">
      <c r="A11429" s="4"/>
      <c r="B11429" s="4"/>
      <c r="D11429" s="4"/>
      <c r="E11429" s="4"/>
      <c r="F11429" s="4"/>
    </row>
    <row r="11430" spans="1:6" x14ac:dyDescent="0.4">
      <c r="A11430" s="4"/>
      <c r="B11430" s="4"/>
      <c r="D11430" s="4"/>
      <c r="E11430" s="4"/>
      <c r="F11430" s="4"/>
    </row>
    <row r="11431" spans="1:6" x14ac:dyDescent="0.4">
      <c r="A11431" s="4"/>
      <c r="B11431" s="4"/>
      <c r="D11431" s="4"/>
      <c r="E11431" s="4"/>
      <c r="F11431" s="4"/>
    </row>
    <row r="11432" spans="1:6" x14ac:dyDescent="0.4">
      <c r="A11432" s="4"/>
      <c r="B11432" s="4"/>
      <c r="D11432" s="4"/>
      <c r="E11432" s="4"/>
      <c r="F11432" s="4"/>
    </row>
    <row r="11433" spans="1:6" x14ac:dyDescent="0.4">
      <c r="A11433" s="4"/>
      <c r="B11433" s="4"/>
      <c r="D11433" s="4"/>
      <c r="E11433" s="4"/>
      <c r="F11433" s="4"/>
    </row>
    <row r="11434" spans="1:6" x14ac:dyDescent="0.4">
      <c r="A11434" s="4"/>
      <c r="B11434" s="4"/>
      <c r="D11434" s="4"/>
      <c r="E11434" s="4"/>
      <c r="F11434" s="4"/>
    </row>
    <row r="11435" spans="1:6" x14ac:dyDescent="0.4">
      <c r="A11435" s="4"/>
      <c r="B11435" s="4"/>
      <c r="D11435" s="4"/>
      <c r="E11435" s="4"/>
      <c r="F11435" s="4"/>
    </row>
    <row r="11436" spans="1:6" x14ac:dyDescent="0.4">
      <c r="A11436" s="4"/>
      <c r="B11436" s="4"/>
      <c r="D11436" s="4"/>
      <c r="E11436" s="4"/>
      <c r="F11436" s="4"/>
    </row>
    <row r="11437" spans="1:6" x14ac:dyDescent="0.4">
      <c r="A11437" s="4"/>
      <c r="B11437" s="4"/>
      <c r="D11437" s="4"/>
      <c r="E11437" s="4"/>
      <c r="F11437" s="4"/>
    </row>
    <row r="11438" spans="1:6" x14ac:dyDescent="0.4">
      <c r="A11438" s="4"/>
      <c r="B11438" s="4"/>
      <c r="D11438" s="4"/>
      <c r="E11438" s="4"/>
      <c r="F11438" s="4"/>
    </row>
    <row r="11439" spans="1:6" x14ac:dyDescent="0.4">
      <c r="A11439" s="4"/>
      <c r="B11439" s="4"/>
      <c r="D11439" s="4"/>
      <c r="E11439" s="4"/>
      <c r="F11439" s="4"/>
    </row>
    <row r="11440" spans="1:6" x14ac:dyDescent="0.4">
      <c r="A11440" s="4"/>
      <c r="B11440" s="4"/>
      <c r="D11440" s="4"/>
      <c r="E11440" s="4"/>
      <c r="F11440" s="4"/>
    </row>
    <row r="11441" spans="1:6" x14ac:dyDescent="0.4">
      <c r="A11441" s="4"/>
      <c r="B11441" s="4"/>
      <c r="D11441" s="4"/>
      <c r="E11441" s="4"/>
      <c r="F11441" s="4"/>
    </row>
    <row r="11442" spans="1:6" x14ac:dyDescent="0.4">
      <c r="A11442" s="4"/>
      <c r="B11442" s="4"/>
      <c r="D11442" s="4"/>
      <c r="E11442" s="4"/>
      <c r="F11442" s="4"/>
    </row>
    <row r="11443" spans="1:6" x14ac:dyDescent="0.4">
      <c r="A11443" s="4"/>
      <c r="B11443" s="4"/>
      <c r="D11443" s="4"/>
      <c r="E11443" s="4"/>
      <c r="F11443" s="4"/>
    </row>
    <row r="11444" spans="1:6" x14ac:dyDescent="0.4">
      <c r="A11444" s="4"/>
      <c r="B11444" s="4"/>
      <c r="D11444" s="4"/>
      <c r="E11444" s="4"/>
      <c r="F11444" s="4"/>
    </row>
    <row r="11445" spans="1:6" x14ac:dyDescent="0.4">
      <c r="A11445" s="4"/>
      <c r="B11445" s="4"/>
      <c r="D11445" s="4"/>
      <c r="E11445" s="4"/>
      <c r="F11445" s="4"/>
    </row>
    <row r="11446" spans="1:6" x14ac:dyDescent="0.4">
      <c r="A11446" s="4"/>
      <c r="B11446" s="4"/>
      <c r="D11446" s="4"/>
      <c r="E11446" s="4"/>
      <c r="F11446" s="4"/>
    </row>
    <row r="11447" spans="1:6" x14ac:dyDescent="0.4">
      <c r="A11447" s="4"/>
      <c r="B11447" s="4"/>
      <c r="D11447" s="4"/>
      <c r="E11447" s="4"/>
      <c r="F11447" s="4"/>
    </row>
    <row r="11448" spans="1:6" x14ac:dyDescent="0.4">
      <c r="A11448" s="4"/>
      <c r="B11448" s="4"/>
      <c r="D11448" s="4"/>
      <c r="E11448" s="4"/>
      <c r="F11448" s="4"/>
    </row>
    <row r="11449" spans="1:6" x14ac:dyDescent="0.4">
      <c r="A11449" s="4"/>
      <c r="B11449" s="4"/>
      <c r="D11449" s="4"/>
      <c r="E11449" s="4"/>
      <c r="F11449" s="4"/>
    </row>
    <row r="11450" spans="1:6" x14ac:dyDescent="0.4">
      <c r="A11450" s="4"/>
      <c r="B11450" s="4"/>
      <c r="D11450" s="4"/>
      <c r="E11450" s="4"/>
      <c r="F11450" s="4"/>
    </row>
    <row r="11451" spans="1:6" x14ac:dyDescent="0.4">
      <c r="A11451" s="4"/>
      <c r="B11451" s="4"/>
      <c r="D11451" s="4"/>
      <c r="E11451" s="4"/>
      <c r="F11451" s="4"/>
    </row>
    <row r="11452" spans="1:6" x14ac:dyDescent="0.4">
      <c r="A11452" s="4"/>
      <c r="B11452" s="4"/>
      <c r="D11452" s="4"/>
      <c r="E11452" s="4"/>
      <c r="F11452" s="4"/>
    </row>
    <row r="11453" spans="1:6" x14ac:dyDescent="0.4">
      <c r="A11453" s="4"/>
      <c r="B11453" s="4"/>
      <c r="D11453" s="4"/>
      <c r="E11453" s="4"/>
      <c r="F11453" s="4"/>
    </row>
    <row r="11454" spans="1:6" x14ac:dyDescent="0.4">
      <c r="A11454" s="4"/>
      <c r="B11454" s="4"/>
      <c r="D11454" s="4"/>
      <c r="E11454" s="4"/>
      <c r="F11454" s="4"/>
    </row>
    <row r="11455" spans="1:6" x14ac:dyDescent="0.4">
      <c r="A11455" s="4"/>
      <c r="B11455" s="4"/>
      <c r="D11455" s="4"/>
      <c r="E11455" s="4"/>
      <c r="F11455" s="4"/>
    </row>
    <row r="11456" spans="1:6" x14ac:dyDescent="0.4">
      <c r="A11456" s="4"/>
      <c r="B11456" s="4"/>
      <c r="D11456" s="4"/>
      <c r="E11456" s="4"/>
      <c r="F11456" s="4"/>
    </row>
    <row r="11457" spans="1:6" x14ac:dyDescent="0.4">
      <c r="A11457" s="4"/>
      <c r="B11457" s="4"/>
      <c r="D11457" s="4"/>
      <c r="E11457" s="4"/>
      <c r="F11457" s="4"/>
    </row>
    <row r="11458" spans="1:6" x14ac:dyDescent="0.4">
      <c r="A11458" s="4"/>
      <c r="B11458" s="4"/>
      <c r="D11458" s="4"/>
      <c r="E11458" s="4"/>
      <c r="F11458" s="4"/>
    </row>
    <row r="11459" spans="1:6" x14ac:dyDescent="0.4">
      <c r="A11459" s="4"/>
      <c r="B11459" s="4"/>
      <c r="D11459" s="4"/>
      <c r="E11459" s="4"/>
      <c r="F11459" s="4"/>
    </row>
    <row r="11460" spans="1:6" x14ac:dyDescent="0.4">
      <c r="A11460" s="4"/>
      <c r="B11460" s="4"/>
      <c r="D11460" s="4"/>
      <c r="E11460" s="4"/>
      <c r="F11460" s="4"/>
    </row>
    <row r="11461" spans="1:6" x14ac:dyDescent="0.4">
      <c r="A11461" s="4"/>
      <c r="B11461" s="4"/>
      <c r="D11461" s="4"/>
      <c r="E11461" s="4"/>
      <c r="F11461" s="4"/>
    </row>
    <row r="11462" spans="1:6" x14ac:dyDescent="0.4">
      <c r="A11462" s="4"/>
      <c r="B11462" s="4"/>
      <c r="D11462" s="4"/>
      <c r="E11462" s="4"/>
      <c r="F11462" s="4"/>
    </row>
    <row r="11463" spans="1:6" x14ac:dyDescent="0.4">
      <c r="A11463" s="4"/>
      <c r="B11463" s="4"/>
      <c r="D11463" s="4"/>
      <c r="E11463" s="4"/>
      <c r="F11463" s="4"/>
    </row>
    <row r="11464" spans="1:6" x14ac:dyDescent="0.4">
      <c r="A11464" s="4"/>
      <c r="B11464" s="4"/>
      <c r="D11464" s="4"/>
      <c r="E11464" s="4"/>
      <c r="F11464" s="4"/>
    </row>
    <row r="11465" spans="1:6" x14ac:dyDescent="0.4">
      <c r="A11465" s="4"/>
      <c r="B11465" s="4"/>
      <c r="D11465" s="4"/>
      <c r="E11465" s="4"/>
      <c r="F11465" s="4"/>
    </row>
    <row r="11466" spans="1:6" x14ac:dyDescent="0.4">
      <c r="A11466" s="4"/>
      <c r="B11466" s="4"/>
      <c r="D11466" s="4"/>
      <c r="E11466" s="4"/>
      <c r="F11466" s="4"/>
    </row>
    <row r="11467" spans="1:6" x14ac:dyDescent="0.4">
      <c r="A11467" s="4"/>
      <c r="B11467" s="4"/>
      <c r="D11467" s="4"/>
      <c r="E11467" s="4"/>
      <c r="F11467" s="4"/>
    </row>
    <row r="11468" spans="1:6" x14ac:dyDescent="0.4">
      <c r="A11468" s="4"/>
      <c r="B11468" s="4"/>
      <c r="D11468" s="4"/>
      <c r="E11468" s="4"/>
      <c r="F11468" s="4"/>
    </row>
    <row r="11469" spans="1:6" x14ac:dyDescent="0.4">
      <c r="A11469" s="4"/>
      <c r="B11469" s="4"/>
      <c r="D11469" s="4"/>
      <c r="E11469" s="4"/>
      <c r="F11469" s="4"/>
    </row>
    <row r="11470" spans="1:6" x14ac:dyDescent="0.4">
      <c r="A11470" s="4"/>
      <c r="B11470" s="4"/>
      <c r="D11470" s="4"/>
      <c r="E11470" s="4"/>
      <c r="F11470" s="4"/>
    </row>
    <row r="11471" spans="1:6" x14ac:dyDescent="0.4">
      <c r="A11471" s="4"/>
      <c r="B11471" s="4"/>
      <c r="D11471" s="4"/>
      <c r="E11471" s="4"/>
      <c r="F11471" s="4"/>
    </row>
    <row r="11472" spans="1:6" x14ac:dyDescent="0.4">
      <c r="A11472" s="4"/>
      <c r="B11472" s="4"/>
      <c r="D11472" s="4"/>
      <c r="E11472" s="4"/>
      <c r="F11472" s="4"/>
    </row>
    <row r="11473" spans="1:6" x14ac:dyDescent="0.4">
      <c r="A11473" s="4"/>
      <c r="B11473" s="4"/>
      <c r="D11473" s="4"/>
      <c r="E11473" s="4"/>
      <c r="F11473" s="4"/>
    </row>
    <row r="11474" spans="1:6" x14ac:dyDescent="0.4">
      <c r="A11474" s="4"/>
      <c r="B11474" s="4"/>
      <c r="D11474" s="4"/>
      <c r="E11474" s="4"/>
      <c r="F11474" s="4"/>
    </row>
    <row r="11475" spans="1:6" x14ac:dyDescent="0.4">
      <c r="A11475" s="4"/>
      <c r="B11475" s="4"/>
      <c r="D11475" s="4"/>
      <c r="E11475" s="4"/>
      <c r="F11475" s="4"/>
    </row>
    <row r="11476" spans="1:6" x14ac:dyDescent="0.4">
      <c r="A11476" s="4"/>
      <c r="B11476" s="4"/>
      <c r="D11476" s="4"/>
      <c r="E11476" s="4"/>
      <c r="F11476" s="4"/>
    </row>
    <row r="11477" spans="1:6" x14ac:dyDescent="0.4">
      <c r="A11477" s="4"/>
      <c r="B11477" s="4"/>
      <c r="D11477" s="4"/>
      <c r="E11477" s="4"/>
      <c r="F11477" s="4"/>
    </row>
    <row r="11478" spans="1:6" x14ac:dyDescent="0.4">
      <c r="A11478" s="4"/>
      <c r="B11478" s="4"/>
      <c r="D11478" s="4"/>
      <c r="E11478" s="4"/>
      <c r="F11478" s="4"/>
    </row>
    <row r="11479" spans="1:6" x14ac:dyDescent="0.4">
      <c r="A11479" s="4"/>
      <c r="B11479" s="4"/>
      <c r="D11479" s="4"/>
      <c r="E11479" s="4"/>
      <c r="F11479" s="4"/>
    </row>
    <row r="11480" spans="1:6" x14ac:dyDescent="0.4">
      <c r="A11480" s="4"/>
      <c r="B11480" s="4"/>
      <c r="D11480" s="4"/>
      <c r="E11480" s="4"/>
      <c r="F11480" s="4"/>
    </row>
    <row r="11481" spans="1:6" x14ac:dyDescent="0.4">
      <c r="A11481" s="4"/>
      <c r="B11481" s="4"/>
      <c r="D11481" s="4"/>
      <c r="E11481" s="4"/>
      <c r="F11481" s="4"/>
    </row>
    <row r="11482" spans="1:6" x14ac:dyDescent="0.4">
      <c r="A11482" s="4"/>
      <c r="B11482" s="4"/>
      <c r="D11482" s="4"/>
      <c r="E11482" s="4"/>
      <c r="F11482" s="4"/>
    </row>
    <row r="11483" spans="1:6" x14ac:dyDescent="0.4">
      <c r="A11483" s="4"/>
      <c r="B11483" s="4"/>
      <c r="D11483" s="4"/>
      <c r="E11483" s="4"/>
      <c r="F11483" s="4"/>
    </row>
    <row r="11484" spans="1:6" x14ac:dyDescent="0.4">
      <c r="A11484" s="4"/>
      <c r="B11484" s="4"/>
      <c r="D11484" s="4"/>
      <c r="E11484" s="4"/>
      <c r="F11484" s="4"/>
    </row>
    <row r="11485" spans="1:6" x14ac:dyDescent="0.4">
      <c r="A11485" s="4"/>
      <c r="B11485" s="4"/>
      <c r="D11485" s="4"/>
      <c r="E11485" s="4"/>
      <c r="F11485" s="4"/>
    </row>
    <row r="11486" spans="1:6" x14ac:dyDescent="0.4">
      <c r="A11486" s="4"/>
      <c r="B11486" s="4"/>
      <c r="D11486" s="4"/>
      <c r="E11486" s="4"/>
      <c r="F11486" s="4"/>
    </row>
    <row r="11487" spans="1:6" x14ac:dyDescent="0.4">
      <c r="A11487" s="4"/>
      <c r="B11487" s="4"/>
      <c r="D11487" s="4"/>
      <c r="E11487" s="4"/>
      <c r="F11487" s="4"/>
    </row>
    <row r="11488" spans="1:6" x14ac:dyDescent="0.4">
      <c r="A11488" s="4"/>
      <c r="B11488" s="4"/>
      <c r="D11488" s="4"/>
      <c r="E11488" s="4"/>
      <c r="F11488" s="4"/>
    </row>
    <row r="11489" spans="1:6" x14ac:dyDescent="0.4">
      <c r="A11489" s="4"/>
      <c r="B11489" s="4"/>
      <c r="D11489" s="4"/>
      <c r="E11489" s="4"/>
      <c r="F11489" s="4"/>
    </row>
    <row r="11490" spans="1:6" x14ac:dyDescent="0.4">
      <c r="A11490" s="4"/>
      <c r="B11490" s="4"/>
      <c r="D11490" s="4"/>
      <c r="E11490" s="4"/>
      <c r="F11490" s="4"/>
    </row>
    <row r="11491" spans="1:6" x14ac:dyDescent="0.4">
      <c r="A11491" s="4"/>
      <c r="B11491" s="4"/>
      <c r="D11491" s="4"/>
      <c r="E11491" s="4"/>
      <c r="F11491" s="4"/>
    </row>
    <row r="11492" spans="1:6" x14ac:dyDescent="0.4">
      <c r="A11492" s="4"/>
      <c r="B11492" s="4"/>
      <c r="D11492" s="4"/>
      <c r="E11492" s="4"/>
      <c r="F11492" s="4"/>
    </row>
    <row r="11493" spans="1:6" x14ac:dyDescent="0.4">
      <c r="A11493" s="4"/>
      <c r="B11493" s="4"/>
      <c r="D11493" s="4"/>
      <c r="E11493" s="4"/>
      <c r="F11493" s="4"/>
    </row>
    <row r="11494" spans="1:6" x14ac:dyDescent="0.4">
      <c r="A11494" s="4"/>
      <c r="B11494" s="4"/>
      <c r="D11494" s="4"/>
      <c r="E11494" s="4"/>
      <c r="F11494" s="4"/>
    </row>
    <row r="11495" spans="1:6" x14ac:dyDescent="0.4">
      <c r="A11495" s="4"/>
      <c r="B11495" s="4"/>
      <c r="D11495" s="4"/>
      <c r="E11495" s="4"/>
      <c r="F11495" s="4"/>
    </row>
    <row r="11496" spans="1:6" x14ac:dyDescent="0.4">
      <c r="A11496" s="4"/>
      <c r="B11496" s="4"/>
      <c r="D11496" s="4"/>
      <c r="E11496" s="4"/>
      <c r="F11496" s="4"/>
    </row>
    <row r="11497" spans="1:6" x14ac:dyDescent="0.4">
      <c r="A11497" s="4"/>
      <c r="B11497" s="4"/>
      <c r="D11497" s="4"/>
      <c r="E11497" s="4"/>
      <c r="F11497" s="4"/>
    </row>
    <row r="11498" spans="1:6" x14ac:dyDescent="0.4">
      <c r="A11498" s="4"/>
      <c r="B11498" s="4"/>
      <c r="D11498" s="4"/>
      <c r="E11498" s="4"/>
      <c r="F11498" s="4"/>
    </row>
    <row r="11499" spans="1:6" x14ac:dyDescent="0.4">
      <c r="A11499" s="4"/>
      <c r="B11499" s="4"/>
      <c r="D11499" s="4"/>
      <c r="E11499" s="4"/>
      <c r="F11499" s="4"/>
    </row>
    <row r="11500" spans="1:6" x14ac:dyDescent="0.4">
      <c r="A11500" s="4"/>
      <c r="B11500" s="4"/>
      <c r="D11500" s="4"/>
      <c r="E11500" s="4"/>
      <c r="F11500" s="4"/>
    </row>
    <row r="11501" spans="1:6" x14ac:dyDescent="0.4">
      <c r="A11501" s="4"/>
      <c r="B11501" s="4"/>
      <c r="D11501" s="4"/>
      <c r="E11501" s="4"/>
      <c r="F11501" s="4"/>
    </row>
    <row r="11502" spans="1:6" x14ac:dyDescent="0.4">
      <c r="A11502" s="4"/>
      <c r="B11502" s="4"/>
      <c r="D11502" s="4"/>
      <c r="E11502" s="4"/>
      <c r="F11502" s="4"/>
    </row>
    <row r="11503" spans="1:6" x14ac:dyDescent="0.4">
      <c r="A11503" s="4"/>
      <c r="B11503" s="4"/>
      <c r="D11503" s="4"/>
      <c r="E11503" s="4"/>
      <c r="F11503" s="4"/>
    </row>
    <row r="11504" spans="1:6" x14ac:dyDescent="0.4">
      <c r="A11504" s="4"/>
      <c r="B11504" s="4"/>
      <c r="D11504" s="4"/>
      <c r="E11504" s="4"/>
      <c r="F11504" s="4"/>
    </row>
    <row r="11505" spans="1:6" x14ac:dyDescent="0.4">
      <c r="A11505" s="4"/>
      <c r="B11505" s="4"/>
      <c r="D11505" s="4"/>
      <c r="E11505" s="4"/>
      <c r="F11505" s="4"/>
    </row>
    <row r="11506" spans="1:6" x14ac:dyDescent="0.4">
      <c r="A11506" s="4"/>
      <c r="B11506" s="4"/>
      <c r="D11506" s="4"/>
      <c r="E11506" s="4"/>
      <c r="F11506" s="4"/>
    </row>
    <row r="11507" spans="1:6" x14ac:dyDescent="0.4">
      <c r="A11507" s="4"/>
      <c r="B11507" s="4"/>
      <c r="D11507" s="4"/>
      <c r="E11507" s="4"/>
      <c r="F11507" s="4"/>
    </row>
    <row r="11508" spans="1:6" x14ac:dyDescent="0.4">
      <c r="A11508" s="4"/>
      <c r="B11508" s="4"/>
      <c r="D11508" s="4"/>
      <c r="E11508" s="4"/>
      <c r="F11508" s="4"/>
    </row>
    <row r="11509" spans="1:6" x14ac:dyDescent="0.4">
      <c r="A11509" s="4"/>
      <c r="B11509" s="4"/>
      <c r="D11509" s="4"/>
      <c r="E11509" s="4"/>
      <c r="F11509" s="4"/>
    </row>
    <row r="11510" spans="1:6" x14ac:dyDescent="0.4">
      <c r="A11510" s="4"/>
      <c r="B11510" s="4"/>
      <c r="D11510" s="4"/>
      <c r="E11510" s="4"/>
      <c r="F11510" s="4"/>
    </row>
    <row r="11511" spans="1:6" x14ac:dyDescent="0.4">
      <c r="A11511" s="4"/>
      <c r="B11511" s="4"/>
      <c r="D11511" s="4"/>
      <c r="E11511" s="4"/>
      <c r="F11511" s="4"/>
    </row>
    <row r="11512" spans="1:6" x14ac:dyDescent="0.4">
      <c r="A11512" s="4"/>
      <c r="B11512" s="4"/>
      <c r="D11512" s="4"/>
      <c r="E11512" s="4"/>
      <c r="F11512" s="4"/>
    </row>
    <row r="11513" spans="1:6" x14ac:dyDescent="0.4">
      <c r="A11513" s="4"/>
      <c r="B11513" s="4"/>
      <c r="D11513" s="4"/>
      <c r="E11513" s="4"/>
      <c r="F11513" s="4"/>
    </row>
    <row r="11514" spans="1:6" x14ac:dyDescent="0.4">
      <c r="A11514" s="4"/>
      <c r="B11514" s="4"/>
      <c r="D11514" s="4"/>
      <c r="E11514" s="4"/>
      <c r="F11514" s="4"/>
    </row>
    <row r="11515" spans="1:6" x14ac:dyDescent="0.4">
      <c r="A11515" s="4"/>
      <c r="B11515" s="4"/>
      <c r="D11515" s="4"/>
      <c r="E11515" s="4"/>
      <c r="F11515" s="4"/>
    </row>
    <row r="11516" spans="1:6" x14ac:dyDescent="0.4">
      <c r="A11516" s="4"/>
      <c r="B11516" s="4"/>
      <c r="D11516" s="4"/>
      <c r="E11516" s="4"/>
      <c r="F11516" s="4"/>
    </row>
    <row r="11517" spans="1:6" x14ac:dyDescent="0.4">
      <c r="A11517" s="4"/>
      <c r="B11517" s="4"/>
      <c r="D11517" s="4"/>
      <c r="E11517" s="4"/>
      <c r="F11517" s="4"/>
    </row>
    <row r="11518" spans="1:6" x14ac:dyDescent="0.4">
      <c r="A11518" s="4"/>
      <c r="B11518" s="4"/>
      <c r="D11518" s="4"/>
      <c r="E11518" s="4"/>
      <c r="F11518" s="4"/>
    </row>
    <row r="11519" spans="1:6" x14ac:dyDescent="0.4">
      <c r="A11519" s="4"/>
      <c r="B11519" s="4"/>
      <c r="D11519" s="4"/>
      <c r="E11519" s="4"/>
      <c r="F11519" s="4"/>
    </row>
    <row r="11520" spans="1:6" x14ac:dyDescent="0.4">
      <c r="A11520" s="4"/>
      <c r="B11520" s="4"/>
      <c r="D11520" s="4"/>
      <c r="E11520" s="4"/>
      <c r="F11520" s="4"/>
    </row>
    <row r="11521" spans="1:6" x14ac:dyDescent="0.4">
      <c r="A11521" s="4"/>
      <c r="B11521" s="4"/>
      <c r="D11521" s="4"/>
      <c r="E11521" s="4"/>
      <c r="F11521" s="4"/>
    </row>
    <row r="11522" spans="1:6" x14ac:dyDescent="0.4">
      <c r="A11522" s="4"/>
      <c r="B11522" s="4"/>
      <c r="D11522" s="4"/>
      <c r="E11522" s="4"/>
      <c r="F11522" s="4"/>
    </row>
    <row r="11523" spans="1:6" x14ac:dyDescent="0.4">
      <c r="A11523" s="4"/>
      <c r="B11523" s="4"/>
      <c r="D11523" s="4"/>
      <c r="E11523" s="4"/>
      <c r="F11523" s="4"/>
    </row>
    <row r="11524" spans="1:6" x14ac:dyDescent="0.4">
      <c r="A11524" s="4"/>
      <c r="B11524" s="4"/>
      <c r="D11524" s="4"/>
      <c r="E11524" s="4"/>
      <c r="F11524" s="4"/>
    </row>
    <row r="11525" spans="1:6" x14ac:dyDescent="0.4">
      <c r="A11525" s="4"/>
      <c r="B11525" s="4"/>
      <c r="D11525" s="4"/>
      <c r="E11525" s="4"/>
      <c r="F11525" s="4"/>
    </row>
    <row r="11526" spans="1:6" x14ac:dyDescent="0.4">
      <c r="A11526" s="4"/>
      <c r="B11526" s="4"/>
      <c r="D11526" s="4"/>
      <c r="E11526" s="4"/>
      <c r="F11526" s="4"/>
    </row>
    <row r="11527" spans="1:6" x14ac:dyDescent="0.4">
      <c r="A11527" s="4"/>
      <c r="B11527" s="4"/>
      <c r="D11527" s="4"/>
      <c r="E11527" s="4"/>
      <c r="F11527" s="4"/>
    </row>
    <row r="11528" spans="1:6" x14ac:dyDescent="0.4">
      <c r="A11528" s="4"/>
      <c r="B11528" s="4"/>
      <c r="D11528" s="4"/>
      <c r="E11528" s="4"/>
      <c r="F11528" s="4"/>
    </row>
    <row r="11529" spans="1:6" x14ac:dyDescent="0.4">
      <c r="A11529" s="4"/>
      <c r="B11529" s="4"/>
      <c r="D11529" s="4"/>
      <c r="E11529" s="4"/>
      <c r="F11529" s="4"/>
    </row>
    <row r="11530" spans="1:6" x14ac:dyDescent="0.4">
      <c r="A11530" s="4"/>
      <c r="B11530" s="4"/>
      <c r="D11530" s="4"/>
      <c r="E11530" s="4"/>
      <c r="F11530" s="4"/>
    </row>
    <row r="11531" spans="1:6" x14ac:dyDescent="0.4">
      <c r="A11531" s="4"/>
      <c r="B11531" s="4"/>
      <c r="D11531" s="4"/>
      <c r="E11531" s="4"/>
      <c r="F11531" s="4"/>
    </row>
    <row r="11532" spans="1:6" x14ac:dyDescent="0.4">
      <c r="A11532" s="4"/>
      <c r="B11532" s="4"/>
      <c r="D11532" s="4"/>
      <c r="E11532" s="4"/>
      <c r="F11532" s="4"/>
    </row>
    <row r="11533" spans="1:6" x14ac:dyDescent="0.4">
      <c r="A11533" s="4"/>
      <c r="B11533" s="4"/>
      <c r="D11533" s="4"/>
      <c r="E11533" s="4"/>
      <c r="F11533" s="4"/>
    </row>
    <row r="11534" spans="1:6" x14ac:dyDescent="0.4">
      <c r="A11534" s="4"/>
      <c r="B11534" s="4"/>
      <c r="D11534" s="4"/>
      <c r="E11534" s="4"/>
      <c r="F11534" s="4"/>
    </row>
    <row r="11535" spans="1:6" x14ac:dyDescent="0.4">
      <c r="A11535" s="4"/>
      <c r="B11535" s="4"/>
      <c r="D11535" s="4"/>
      <c r="E11535" s="4"/>
      <c r="F11535" s="4"/>
    </row>
    <row r="11536" spans="1:6" x14ac:dyDescent="0.4">
      <c r="A11536" s="4"/>
      <c r="B11536" s="4"/>
      <c r="D11536" s="4"/>
      <c r="E11536" s="4"/>
      <c r="F11536" s="4"/>
    </row>
    <row r="11537" spans="1:6" x14ac:dyDescent="0.4">
      <c r="A11537" s="4"/>
      <c r="B11537" s="4"/>
      <c r="D11537" s="4"/>
      <c r="E11537" s="4"/>
      <c r="F11537" s="4"/>
    </row>
    <row r="11538" spans="1:6" x14ac:dyDescent="0.4">
      <c r="A11538" s="4"/>
      <c r="B11538" s="4"/>
      <c r="D11538" s="4"/>
      <c r="E11538" s="4"/>
      <c r="F11538" s="4"/>
    </row>
    <row r="11539" spans="1:6" x14ac:dyDescent="0.4">
      <c r="A11539" s="4"/>
      <c r="B11539" s="4"/>
      <c r="D11539" s="4"/>
      <c r="E11539" s="4"/>
      <c r="F11539" s="4"/>
    </row>
    <row r="11540" spans="1:6" x14ac:dyDescent="0.4">
      <c r="A11540" s="4"/>
      <c r="B11540" s="4"/>
      <c r="D11540" s="4"/>
      <c r="E11540" s="4"/>
      <c r="F11540" s="4"/>
    </row>
    <row r="11541" spans="1:6" x14ac:dyDescent="0.4">
      <c r="A11541" s="4"/>
      <c r="B11541" s="4"/>
      <c r="D11541" s="4"/>
      <c r="E11541" s="4"/>
      <c r="F11541" s="4"/>
    </row>
    <row r="11542" spans="1:6" x14ac:dyDescent="0.4">
      <c r="A11542" s="4"/>
      <c r="B11542" s="4"/>
      <c r="D11542" s="4"/>
      <c r="E11542" s="4"/>
      <c r="F11542" s="4"/>
    </row>
    <row r="11543" spans="1:6" x14ac:dyDescent="0.4">
      <c r="A11543" s="4"/>
      <c r="B11543" s="4"/>
      <c r="D11543" s="4"/>
      <c r="E11543" s="4"/>
      <c r="F11543" s="4"/>
    </row>
    <row r="11544" spans="1:6" x14ac:dyDescent="0.4">
      <c r="A11544" s="4"/>
      <c r="B11544" s="4"/>
      <c r="D11544" s="4"/>
      <c r="E11544" s="4"/>
      <c r="F11544" s="4"/>
    </row>
    <row r="11545" spans="1:6" x14ac:dyDescent="0.4">
      <c r="A11545" s="4"/>
      <c r="B11545" s="4"/>
      <c r="D11545" s="4"/>
      <c r="E11545" s="4"/>
      <c r="F11545" s="4"/>
    </row>
    <row r="11546" spans="1:6" x14ac:dyDescent="0.4">
      <c r="A11546" s="4"/>
      <c r="B11546" s="4"/>
      <c r="D11546" s="4"/>
      <c r="E11546" s="4"/>
      <c r="F11546" s="4"/>
    </row>
    <row r="11547" spans="1:6" x14ac:dyDescent="0.4">
      <c r="A11547" s="4"/>
      <c r="B11547" s="4"/>
      <c r="D11547" s="4"/>
      <c r="E11547" s="4"/>
      <c r="F11547" s="4"/>
    </row>
    <row r="11548" spans="1:6" x14ac:dyDescent="0.4">
      <c r="A11548" s="4"/>
      <c r="B11548" s="4"/>
      <c r="D11548" s="4"/>
      <c r="E11548" s="4"/>
      <c r="F11548" s="4"/>
    </row>
    <row r="11549" spans="1:6" x14ac:dyDescent="0.4">
      <c r="A11549" s="4"/>
      <c r="B11549" s="4"/>
      <c r="D11549" s="4"/>
      <c r="E11549" s="4"/>
      <c r="F11549" s="4"/>
    </row>
    <row r="11550" spans="1:6" x14ac:dyDescent="0.4">
      <c r="A11550" s="4"/>
      <c r="B11550" s="4"/>
      <c r="D11550" s="4"/>
      <c r="E11550" s="4"/>
      <c r="F11550" s="4"/>
    </row>
    <row r="11551" spans="1:6" x14ac:dyDescent="0.4">
      <c r="A11551" s="4"/>
      <c r="B11551" s="4"/>
      <c r="D11551" s="4"/>
      <c r="E11551" s="4"/>
      <c r="F11551" s="4"/>
    </row>
    <row r="11552" spans="1:6" x14ac:dyDescent="0.4">
      <c r="A11552" s="4"/>
      <c r="B11552" s="4"/>
      <c r="D11552" s="4"/>
      <c r="E11552" s="4"/>
      <c r="F11552" s="4"/>
    </row>
    <row r="11553" spans="1:6" x14ac:dyDescent="0.4">
      <c r="A11553" s="4"/>
      <c r="B11553" s="4"/>
      <c r="D11553" s="4"/>
      <c r="E11553" s="4"/>
      <c r="F11553" s="4"/>
    </row>
    <row r="11554" spans="1:6" x14ac:dyDescent="0.4">
      <c r="A11554" s="4"/>
      <c r="B11554" s="4"/>
      <c r="D11554" s="4"/>
      <c r="E11554" s="4"/>
      <c r="F11554" s="4"/>
    </row>
    <row r="11555" spans="1:6" x14ac:dyDescent="0.4">
      <c r="A11555" s="4"/>
      <c r="B11555" s="4"/>
      <c r="D11555" s="4"/>
      <c r="E11555" s="4"/>
      <c r="F11555" s="4"/>
    </row>
    <row r="11556" spans="1:6" x14ac:dyDescent="0.4">
      <c r="A11556" s="4"/>
      <c r="B11556" s="4"/>
      <c r="D11556" s="4"/>
      <c r="E11556" s="4"/>
      <c r="F11556" s="4"/>
    </row>
    <row r="11557" spans="1:6" x14ac:dyDescent="0.4">
      <c r="A11557" s="4"/>
      <c r="B11557" s="4"/>
      <c r="D11557" s="4"/>
      <c r="E11557" s="4"/>
      <c r="F11557" s="4"/>
    </row>
    <row r="11558" spans="1:6" x14ac:dyDescent="0.4">
      <c r="A11558" s="4"/>
      <c r="B11558" s="4"/>
      <c r="D11558" s="4"/>
      <c r="E11558" s="4"/>
      <c r="F11558" s="4"/>
    </row>
    <row r="11559" spans="1:6" x14ac:dyDescent="0.4">
      <c r="A11559" s="4"/>
      <c r="B11559" s="4"/>
      <c r="D11559" s="4"/>
      <c r="E11559" s="4"/>
      <c r="F11559" s="4"/>
    </row>
    <row r="11560" spans="1:6" x14ac:dyDescent="0.4">
      <c r="A11560" s="4"/>
      <c r="B11560" s="4"/>
      <c r="D11560" s="4"/>
      <c r="E11560" s="4"/>
      <c r="F11560" s="4"/>
    </row>
    <row r="11561" spans="1:6" x14ac:dyDescent="0.4">
      <c r="A11561" s="4"/>
      <c r="B11561" s="4"/>
      <c r="D11561" s="4"/>
      <c r="E11561" s="4"/>
      <c r="F11561" s="4"/>
    </row>
    <row r="11562" spans="1:6" x14ac:dyDescent="0.4">
      <c r="A11562" s="4"/>
      <c r="B11562" s="4"/>
      <c r="D11562" s="4"/>
      <c r="E11562" s="4"/>
      <c r="F11562" s="4"/>
    </row>
    <row r="11563" spans="1:6" x14ac:dyDescent="0.4">
      <c r="A11563" s="4"/>
      <c r="B11563" s="4"/>
      <c r="D11563" s="4"/>
      <c r="E11563" s="4"/>
      <c r="F11563" s="4"/>
    </row>
    <row r="11564" spans="1:6" x14ac:dyDescent="0.4">
      <c r="A11564" s="4"/>
      <c r="B11564" s="4"/>
      <c r="D11564" s="4"/>
      <c r="E11564" s="4"/>
      <c r="F11564" s="4"/>
    </row>
    <row r="11565" spans="1:6" x14ac:dyDescent="0.4">
      <c r="A11565" s="4"/>
      <c r="B11565" s="4"/>
      <c r="D11565" s="4"/>
      <c r="E11565" s="4"/>
      <c r="F11565" s="4"/>
    </row>
    <row r="11566" spans="1:6" x14ac:dyDescent="0.4">
      <c r="A11566" s="4"/>
      <c r="B11566" s="4"/>
      <c r="D11566" s="4"/>
      <c r="E11566" s="4"/>
      <c r="F11566" s="4"/>
    </row>
    <row r="11567" spans="1:6" x14ac:dyDescent="0.4">
      <c r="A11567" s="4"/>
      <c r="B11567" s="4"/>
      <c r="D11567" s="4"/>
      <c r="E11567" s="4"/>
      <c r="F11567" s="4"/>
    </row>
    <row r="11568" spans="1:6" x14ac:dyDescent="0.4">
      <c r="A11568" s="4"/>
      <c r="B11568" s="4"/>
      <c r="D11568" s="4"/>
      <c r="E11568" s="4"/>
      <c r="F11568" s="4"/>
    </row>
    <row r="11569" spans="1:6" x14ac:dyDescent="0.4">
      <c r="A11569" s="4"/>
      <c r="B11569" s="4"/>
      <c r="D11569" s="4"/>
      <c r="E11569" s="4"/>
      <c r="F11569" s="4"/>
    </row>
    <row r="11570" spans="1:6" x14ac:dyDescent="0.4">
      <c r="A11570" s="4"/>
      <c r="B11570" s="4"/>
      <c r="D11570" s="4"/>
      <c r="E11570" s="4"/>
      <c r="F11570" s="4"/>
    </row>
    <row r="11571" spans="1:6" x14ac:dyDescent="0.4">
      <c r="A11571" s="4"/>
      <c r="B11571" s="4"/>
      <c r="D11571" s="4"/>
      <c r="E11571" s="4"/>
      <c r="F11571" s="4"/>
    </row>
    <row r="11572" spans="1:6" x14ac:dyDescent="0.4">
      <c r="A11572" s="4"/>
      <c r="B11572" s="4"/>
      <c r="D11572" s="4"/>
      <c r="E11572" s="4"/>
      <c r="F11572" s="4"/>
    </row>
    <row r="11573" spans="1:6" x14ac:dyDescent="0.4">
      <c r="A11573" s="4"/>
      <c r="B11573" s="4"/>
      <c r="D11573" s="4"/>
      <c r="E11573" s="4"/>
      <c r="F11573" s="4"/>
    </row>
    <row r="11574" spans="1:6" x14ac:dyDescent="0.4">
      <c r="A11574" s="4"/>
      <c r="B11574" s="4"/>
      <c r="D11574" s="4"/>
      <c r="E11574" s="4"/>
      <c r="F11574" s="4"/>
    </row>
    <row r="11575" spans="1:6" x14ac:dyDescent="0.4">
      <c r="A11575" s="4"/>
      <c r="B11575" s="4"/>
      <c r="D11575" s="4"/>
      <c r="E11575" s="4"/>
      <c r="F11575" s="4"/>
    </row>
    <row r="11576" spans="1:6" x14ac:dyDescent="0.4">
      <c r="A11576" s="4"/>
      <c r="B11576" s="4"/>
      <c r="D11576" s="4"/>
      <c r="E11576" s="4"/>
      <c r="F11576" s="4"/>
    </row>
    <row r="11577" spans="1:6" x14ac:dyDescent="0.4">
      <c r="A11577" s="4"/>
      <c r="B11577" s="4"/>
      <c r="D11577" s="4"/>
      <c r="E11577" s="4"/>
      <c r="F11577" s="4"/>
    </row>
    <row r="11578" spans="1:6" x14ac:dyDescent="0.4">
      <c r="A11578" s="4"/>
      <c r="B11578" s="4"/>
      <c r="D11578" s="4"/>
      <c r="E11578" s="4"/>
      <c r="F11578" s="4"/>
    </row>
    <row r="11579" spans="1:6" x14ac:dyDescent="0.4">
      <c r="A11579" s="4"/>
      <c r="B11579" s="4"/>
      <c r="D11579" s="4"/>
      <c r="E11579" s="4"/>
      <c r="F11579" s="4"/>
    </row>
    <row r="11580" spans="1:6" x14ac:dyDescent="0.4">
      <c r="A11580" s="4"/>
      <c r="B11580" s="4"/>
      <c r="D11580" s="4"/>
      <c r="E11580" s="4"/>
      <c r="F11580" s="4"/>
    </row>
    <row r="11581" spans="1:6" x14ac:dyDescent="0.4">
      <c r="A11581" s="4"/>
      <c r="B11581" s="4"/>
      <c r="D11581" s="4"/>
      <c r="E11581" s="4"/>
      <c r="F11581" s="4"/>
    </row>
    <row r="11582" spans="1:6" x14ac:dyDescent="0.4">
      <c r="A11582" s="4"/>
      <c r="B11582" s="4"/>
      <c r="D11582" s="4"/>
      <c r="E11582" s="4"/>
      <c r="F11582" s="4"/>
    </row>
    <row r="11583" spans="1:6" x14ac:dyDescent="0.4">
      <c r="A11583" s="4"/>
      <c r="B11583" s="4"/>
      <c r="D11583" s="4"/>
      <c r="E11583" s="4"/>
      <c r="F11583" s="4"/>
    </row>
    <row r="11584" spans="1:6" x14ac:dyDescent="0.4">
      <c r="A11584" s="4"/>
      <c r="B11584" s="4"/>
      <c r="D11584" s="4"/>
      <c r="E11584" s="4"/>
      <c r="F11584" s="4"/>
    </row>
    <row r="11585" spans="1:6" x14ac:dyDescent="0.4">
      <c r="A11585" s="4"/>
      <c r="B11585" s="4"/>
      <c r="D11585" s="4"/>
      <c r="E11585" s="4"/>
      <c r="F11585" s="4"/>
    </row>
    <row r="11586" spans="1:6" x14ac:dyDescent="0.4">
      <c r="A11586" s="4"/>
      <c r="B11586" s="4"/>
      <c r="D11586" s="4"/>
      <c r="E11586" s="4"/>
      <c r="F11586" s="4"/>
    </row>
    <row r="11587" spans="1:6" x14ac:dyDescent="0.4">
      <c r="A11587" s="4"/>
      <c r="B11587" s="4"/>
      <c r="D11587" s="4"/>
      <c r="E11587" s="4"/>
      <c r="F11587" s="4"/>
    </row>
    <row r="11588" spans="1:6" x14ac:dyDescent="0.4">
      <c r="A11588" s="4"/>
      <c r="B11588" s="4"/>
      <c r="D11588" s="4"/>
      <c r="E11588" s="4"/>
      <c r="F11588" s="4"/>
    </row>
    <row r="11589" spans="1:6" x14ac:dyDescent="0.4">
      <c r="A11589" s="4"/>
      <c r="B11589" s="4"/>
      <c r="D11589" s="4"/>
      <c r="E11589" s="4"/>
      <c r="F11589" s="4"/>
    </row>
    <row r="11590" spans="1:6" x14ac:dyDescent="0.4">
      <c r="A11590" s="4"/>
      <c r="B11590" s="4"/>
      <c r="D11590" s="4"/>
      <c r="E11590" s="4"/>
      <c r="F11590" s="4"/>
    </row>
    <row r="11591" spans="1:6" x14ac:dyDescent="0.4">
      <c r="A11591" s="4"/>
      <c r="B11591" s="4"/>
      <c r="D11591" s="4"/>
      <c r="E11591" s="4"/>
      <c r="F11591" s="4"/>
    </row>
    <row r="11592" spans="1:6" x14ac:dyDescent="0.4">
      <c r="A11592" s="4"/>
      <c r="B11592" s="4"/>
      <c r="D11592" s="4"/>
      <c r="E11592" s="4"/>
      <c r="F11592" s="4"/>
    </row>
    <row r="11593" spans="1:6" x14ac:dyDescent="0.4">
      <c r="A11593" s="4"/>
      <c r="B11593" s="4"/>
      <c r="D11593" s="4"/>
      <c r="E11593" s="4"/>
      <c r="F11593" s="4"/>
    </row>
    <row r="11594" spans="1:6" x14ac:dyDescent="0.4">
      <c r="A11594" s="4"/>
      <c r="B11594" s="4"/>
      <c r="D11594" s="4"/>
      <c r="E11594" s="4"/>
      <c r="F11594" s="4"/>
    </row>
    <row r="11595" spans="1:6" x14ac:dyDescent="0.4">
      <c r="A11595" s="4"/>
      <c r="B11595" s="4"/>
      <c r="D11595" s="4"/>
      <c r="E11595" s="4"/>
      <c r="F11595" s="4"/>
    </row>
    <row r="11596" spans="1:6" x14ac:dyDescent="0.4">
      <c r="A11596" s="4"/>
      <c r="B11596" s="4"/>
      <c r="D11596" s="4"/>
      <c r="E11596" s="4"/>
      <c r="F11596" s="4"/>
    </row>
    <row r="11597" spans="1:6" x14ac:dyDescent="0.4">
      <c r="A11597" s="4"/>
      <c r="B11597" s="4"/>
      <c r="D11597" s="4"/>
      <c r="E11597" s="4"/>
      <c r="F11597" s="4"/>
    </row>
    <row r="11598" spans="1:6" x14ac:dyDescent="0.4">
      <c r="A11598" s="4"/>
      <c r="B11598" s="4"/>
      <c r="D11598" s="4"/>
      <c r="E11598" s="4"/>
      <c r="F11598" s="4"/>
    </row>
    <row r="11599" spans="1:6" x14ac:dyDescent="0.4">
      <c r="A11599" s="4"/>
      <c r="B11599" s="4"/>
      <c r="D11599" s="4"/>
      <c r="E11599" s="4"/>
      <c r="F11599" s="4"/>
    </row>
    <row r="11600" spans="1:6" x14ac:dyDescent="0.4">
      <c r="A11600" s="4"/>
      <c r="B11600" s="4"/>
      <c r="D11600" s="4"/>
      <c r="E11600" s="4"/>
      <c r="F11600" s="4"/>
    </row>
    <row r="11601" spans="1:6" x14ac:dyDescent="0.4">
      <c r="A11601" s="4"/>
      <c r="B11601" s="4"/>
      <c r="D11601" s="4"/>
      <c r="E11601" s="4"/>
      <c r="F11601" s="4"/>
    </row>
    <row r="11602" spans="1:6" x14ac:dyDescent="0.4">
      <c r="A11602" s="4"/>
      <c r="B11602" s="4"/>
      <c r="D11602" s="4"/>
      <c r="E11602" s="4"/>
      <c r="F11602" s="4"/>
    </row>
    <row r="11603" spans="1:6" x14ac:dyDescent="0.4">
      <c r="A11603" s="4"/>
      <c r="B11603" s="4"/>
      <c r="D11603" s="4"/>
      <c r="E11603" s="4"/>
      <c r="F11603" s="4"/>
    </row>
    <row r="11604" spans="1:6" x14ac:dyDescent="0.4">
      <c r="A11604" s="4"/>
      <c r="B11604" s="4"/>
      <c r="D11604" s="4"/>
      <c r="E11604" s="4"/>
      <c r="F11604" s="4"/>
    </row>
    <row r="11605" spans="1:6" x14ac:dyDescent="0.4">
      <c r="A11605" s="4"/>
      <c r="B11605" s="4"/>
      <c r="D11605" s="4"/>
      <c r="E11605" s="4"/>
      <c r="F11605" s="4"/>
    </row>
    <row r="11606" spans="1:6" x14ac:dyDescent="0.4">
      <c r="A11606" s="4"/>
      <c r="B11606" s="4"/>
      <c r="D11606" s="4"/>
      <c r="E11606" s="4"/>
      <c r="F11606" s="4"/>
    </row>
    <row r="11607" spans="1:6" x14ac:dyDescent="0.4">
      <c r="A11607" s="4"/>
      <c r="B11607" s="4"/>
      <c r="D11607" s="4"/>
      <c r="E11607" s="4"/>
      <c r="F11607" s="4"/>
    </row>
    <row r="11608" spans="1:6" x14ac:dyDescent="0.4">
      <c r="A11608" s="4"/>
      <c r="B11608" s="4"/>
      <c r="D11608" s="4"/>
      <c r="E11608" s="4"/>
      <c r="F11608" s="4"/>
    </row>
    <row r="11609" spans="1:6" x14ac:dyDescent="0.4">
      <c r="A11609" s="4"/>
      <c r="B11609" s="4"/>
      <c r="D11609" s="4"/>
      <c r="E11609" s="4"/>
      <c r="F11609" s="4"/>
    </row>
    <row r="11610" spans="1:6" x14ac:dyDescent="0.4">
      <c r="A11610" s="4"/>
      <c r="B11610" s="4"/>
      <c r="D11610" s="4"/>
      <c r="E11610" s="4"/>
      <c r="F11610" s="4"/>
    </row>
    <row r="11611" spans="1:6" x14ac:dyDescent="0.4">
      <c r="A11611" s="4"/>
      <c r="B11611" s="4"/>
      <c r="D11611" s="4"/>
      <c r="E11611" s="4"/>
      <c r="F11611" s="4"/>
    </row>
    <row r="11612" spans="1:6" x14ac:dyDescent="0.4">
      <c r="A11612" s="4"/>
      <c r="B11612" s="4"/>
      <c r="D11612" s="4"/>
      <c r="E11612" s="4"/>
      <c r="F11612" s="4"/>
    </row>
    <row r="11613" spans="1:6" x14ac:dyDescent="0.4">
      <c r="A11613" s="4"/>
      <c r="B11613" s="4"/>
      <c r="D11613" s="4"/>
      <c r="E11613" s="4"/>
      <c r="F11613" s="4"/>
    </row>
    <row r="11614" spans="1:6" x14ac:dyDescent="0.4">
      <c r="A11614" s="4"/>
      <c r="B11614" s="4"/>
      <c r="D11614" s="4"/>
      <c r="E11614" s="4"/>
      <c r="F11614" s="4"/>
    </row>
    <row r="11615" spans="1:6" x14ac:dyDescent="0.4">
      <c r="A11615" s="4"/>
      <c r="B11615" s="4"/>
      <c r="D11615" s="4"/>
      <c r="E11615" s="4"/>
      <c r="F11615" s="4"/>
    </row>
    <row r="11616" spans="1:6" x14ac:dyDescent="0.4">
      <c r="A11616" s="4"/>
      <c r="B11616" s="4"/>
      <c r="D11616" s="4"/>
      <c r="E11616" s="4"/>
      <c r="F11616" s="4"/>
    </row>
    <row r="11617" spans="1:6" x14ac:dyDescent="0.4">
      <c r="A11617" s="4"/>
      <c r="B11617" s="4"/>
      <c r="D11617" s="4"/>
      <c r="E11617" s="4"/>
      <c r="F11617" s="4"/>
    </row>
    <row r="11618" spans="1:6" x14ac:dyDescent="0.4">
      <c r="A11618" s="4"/>
      <c r="B11618" s="4"/>
      <c r="D11618" s="4"/>
      <c r="E11618" s="4"/>
      <c r="F11618" s="4"/>
    </row>
    <row r="11619" spans="1:6" x14ac:dyDescent="0.4">
      <c r="A11619" s="4"/>
      <c r="B11619" s="4"/>
      <c r="D11619" s="4"/>
      <c r="E11619" s="4"/>
      <c r="F11619" s="4"/>
    </row>
    <row r="11620" spans="1:6" x14ac:dyDescent="0.4">
      <c r="A11620" s="4"/>
      <c r="B11620" s="4"/>
      <c r="D11620" s="4"/>
      <c r="E11620" s="4"/>
      <c r="F11620" s="4"/>
    </row>
    <row r="11621" spans="1:6" x14ac:dyDescent="0.4">
      <c r="A11621" s="4"/>
      <c r="B11621" s="4"/>
      <c r="D11621" s="4"/>
      <c r="E11621" s="4"/>
      <c r="F11621" s="4"/>
    </row>
    <row r="11622" spans="1:6" x14ac:dyDescent="0.4">
      <c r="A11622" s="4"/>
      <c r="B11622" s="4"/>
      <c r="D11622" s="4"/>
      <c r="E11622" s="4"/>
      <c r="F11622" s="4"/>
    </row>
    <row r="11623" spans="1:6" x14ac:dyDescent="0.4">
      <c r="A11623" s="4"/>
      <c r="B11623" s="4"/>
      <c r="D11623" s="4"/>
      <c r="E11623" s="4"/>
      <c r="F11623" s="4"/>
    </row>
    <row r="11624" spans="1:6" x14ac:dyDescent="0.4">
      <c r="A11624" s="4"/>
      <c r="B11624" s="4"/>
      <c r="D11624" s="4"/>
      <c r="E11624" s="4"/>
      <c r="F11624" s="4"/>
    </row>
    <row r="11625" spans="1:6" x14ac:dyDescent="0.4">
      <c r="A11625" s="4"/>
      <c r="B11625" s="4"/>
      <c r="D11625" s="4"/>
      <c r="E11625" s="4"/>
      <c r="F11625" s="4"/>
    </row>
    <row r="11626" spans="1:6" x14ac:dyDescent="0.4">
      <c r="A11626" s="4"/>
      <c r="B11626" s="4"/>
      <c r="D11626" s="4"/>
      <c r="E11626" s="4"/>
      <c r="F11626" s="4"/>
    </row>
    <row r="11627" spans="1:6" x14ac:dyDescent="0.4">
      <c r="A11627" s="4"/>
      <c r="B11627" s="4"/>
      <c r="D11627" s="4"/>
      <c r="E11627" s="4"/>
      <c r="F11627" s="4"/>
    </row>
    <row r="11628" spans="1:6" x14ac:dyDescent="0.4">
      <c r="A11628" s="4"/>
      <c r="B11628" s="4"/>
      <c r="D11628" s="4"/>
      <c r="E11628" s="4"/>
      <c r="F11628" s="4"/>
    </row>
    <row r="11629" spans="1:6" x14ac:dyDescent="0.4">
      <c r="A11629" s="4"/>
      <c r="B11629" s="4"/>
      <c r="D11629" s="4"/>
      <c r="E11629" s="4"/>
      <c r="F11629" s="4"/>
    </row>
    <row r="11630" spans="1:6" x14ac:dyDescent="0.4">
      <c r="A11630" s="4"/>
      <c r="B11630" s="4"/>
      <c r="D11630" s="4"/>
      <c r="E11630" s="4"/>
      <c r="F11630" s="4"/>
    </row>
    <row r="11631" spans="1:6" x14ac:dyDescent="0.4">
      <c r="A11631" s="4"/>
      <c r="B11631" s="4"/>
      <c r="D11631" s="4"/>
      <c r="E11631" s="4"/>
      <c r="F11631" s="4"/>
    </row>
    <row r="11632" spans="1:6" x14ac:dyDescent="0.4">
      <c r="A11632" s="4"/>
      <c r="B11632" s="4"/>
      <c r="D11632" s="4"/>
      <c r="E11632" s="4"/>
      <c r="F11632" s="4"/>
    </row>
    <row r="11633" spans="1:6" x14ac:dyDescent="0.4">
      <c r="A11633" s="4"/>
      <c r="B11633" s="4"/>
      <c r="D11633" s="4"/>
      <c r="E11633" s="4"/>
      <c r="F11633" s="4"/>
    </row>
    <row r="11634" spans="1:6" x14ac:dyDescent="0.4">
      <c r="A11634" s="4"/>
      <c r="B11634" s="4"/>
      <c r="D11634" s="4"/>
      <c r="E11634" s="4"/>
      <c r="F11634" s="4"/>
    </row>
    <row r="11635" spans="1:6" x14ac:dyDescent="0.4">
      <c r="A11635" s="4"/>
      <c r="B11635" s="4"/>
      <c r="D11635" s="4"/>
      <c r="E11635" s="4"/>
      <c r="F11635" s="4"/>
    </row>
    <row r="11636" spans="1:6" x14ac:dyDescent="0.4">
      <c r="A11636" s="4"/>
      <c r="B11636" s="4"/>
      <c r="D11636" s="4"/>
      <c r="E11636" s="4"/>
      <c r="F11636" s="4"/>
    </row>
    <row r="11637" spans="1:6" x14ac:dyDescent="0.4">
      <c r="A11637" s="4"/>
      <c r="B11637" s="4"/>
      <c r="D11637" s="4"/>
      <c r="E11637" s="4"/>
      <c r="F11637" s="4"/>
    </row>
    <row r="11638" spans="1:6" x14ac:dyDescent="0.4">
      <c r="A11638" s="4"/>
      <c r="B11638" s="4"/>
      <c r="D11638" s="4"/>
      <c r="E11638" s="4"/>
      <c r="F11638" s="4"/>
    </row>
    <row r="11639" spans="1:6" x14ac:dyDescent="0.4">
      <c r="A11639" s="4"/>
      <c r="B11639" s="4"/>
      <c r="D11639" s="4"/>
      <c r="E11639" s="4"/>
      <c r="F11639" s="4"/>
    </row>
    <row r="11640" spans="1:6" x14ac:dyDescent="0.4">
      <c r="A11640" s="4"/>
      <c r="B11640" s="4"/>
      <c r="D11640" s="4"/>
      <c r="E11640" s="4"/>
      <c r="F11640" s="4"/>
    </row>
    <row r="11641" spans="1:6" x14ac:dyDescent="0.4">
      <c r="A11641" s="4"/>
      <c r="B11641" s="4"/>
      <c r="D11641" s="4"/>
      <c r="E11641" s="4"/>
      <c r="F11641" s="4"/>
    </row>
    <row r="11642" spans="1:6" x14ac:dyDescent="0.4">
      <c r="A11642" s="4"/>
      <c r="B11642" s="4"/>
      <c r="D11642" s="4"/>
      <c r="E11642" s="4"/>
      <c r="F11642" s="4"/>
    </row>
    <row r="11643" spans="1:6" x14ac:dyDescent="0.4">
      <c r="A11643" s="4"/>
      <c r="B11643" s="4"/>
      <c r="D11643" s="4"/>
      <c r="E11643" s="4"/>
      <c r="F11643" s="4"/>
    </row>
    <row r="11644" spans="1:6" x14ac:dyDescent="0.4">
      <c r="A11644" s="4"/>
      <c r="B11644" s="4"/>
      <c r="D11644" s="4"/>
      <c r="E11644" s="4"/>
      <c r="F11644" s="4"/>
    </row>
    <row r="11645" spans="1:6" x14ac:dyDescent="0.4">
      <c r="A11645" s="4"/>
      <c r="B11645" s="4"/>
      <c r="D11645" s="4"/>
      <c r="E11645" s="4"/>
      <c r="F11645" s="4"/>
    </row>
    <row r="11646" spans="1:6" x14ac:dyDescent="0.4">
      <c r="A11646" s="4"/>
      <c r="B11646" s="4"/>
      <c r="D11646" s="4"/>
      <c r="E11646" s="4"/>
      <c r="F11646" s="4"/>
    </row>
    <row r="11647" spans="1:6" x14ac:dyDescent="0.4">
      <c r="A11647" s="4"/>
      <c r="B11647" s="4"/>
      <c r="D11647" s="4"/>
      <c r="E11647" s="4"/>
      <c r="F11647" s="4"/>
    </row>
    <row r="11648" spans="1:6" x14ac:dyDescent="0.4">
      <c r="A11648" s="4"/>
      <c r="B11648" s="4"/>
      <c r="D11648" s="4"/>
      <c r="E11648" s="4"/>
      <c r="F11648" s="4"/>
    </row>
    <row r="11649" spans="1:6" x14ac:dyDescent="0.4">
      <c r="A11649" s="4"/>
      <c r="B11649" s="4"/>
      <c r="D11649" s="4"/>
      <c r="E11649" s="4"/>
      <c r="F11649" s="4"/>
    </row>
    <row r="11650" spans="1:6" x14ac:dyDescent="0.4">
      <c r="A11650" s="4"/>
      <c r="B11650" s="4"/>
      <c r="D11650" s="4"/>
      <c r="E11650" s="4"/>
      <c r="F11650" s="4"/>
    </row>
    <row r="11651" spans="1:6" x14ac:dyDescent="0.4">
      <c r="A11651" s="4"/>
      <c r="B11651" s="4"/>
      <c r="D11651" s="4"/>
      <c r="E11651" s="4"/>
      <c r="F11651" s="4"/>
    </row>
    <row r="11652" spans="1:6" x14ac:dyDescent="0.4">
      <c r="A11652" s="4"/>
      <c r="B11652" s="4"/>
      <c r="D11652" s="4"/>
      <c r="E11652" s="4"/>
      <c r="F11652" s="4"/>
    </row>
    <row r="11653" spans="1:6" x14ac:dyDescent="0.4">
      <c r="A11653" s="4"/>
      <c r="B11653" s="4"/>
      <c r="D11653" s="4"/>
      <c r="E11653" s="4"/>
      <c r="F11653" s="4"/>
    </row>
    <row r="11654" spans="1:6" x14ac:dyDescent="0.4">
      <c r="A11654" s="4"/>
      <c r="B11654" s="4"/>
      <c r="D11654" s="4"/>
      <c r="E11654" s="4"/>
      <c r="F11654" s="4"/>
    </row>
    <row r="11655" spans="1:6" x14ac:dyDescent="0.4">
      <c r="A11655" s="4"/>
      <c r="B11655" s="4"/>
      <c r="D11655" s="4"/>
      <c r="E11655" s="4"/>
      <c r="F11655" s="4"/>
    </row>
    <row r="11656" spans="1:6" x14ac:dyDescent="0.4">
      <c r="A11656" s="4"/>
      <c r="B11656" s="4"/>
      <c r="D11656" s="4"/>
      <c r="E11656" s="4"/>
      <c r="F11656" s="4"/>
    </row>
    <row r="11657" spans="1:6" x14ac:dyDescent="0.4">
      <c r="A11657" s="4"/>
      <c r="B11657" s="4"/>
      <c r="D11657" s="4"/>
      <c r="E11657" s="4"/>
      <c r="F11657" s="4"/>
    </row>
    <row r="11658" spans="1:6" x14ac:dyDescent="0.4">
      <c r="A11658" s="4"/>
      <c r="B11658" s="4"/>
      <c r="D11658" s="4"/>
      <c r="E11658" s="4"/>
      <c r="F11658" s="4"/>
    </row>
    <row r="11659" spans="1:6" x14ac:dyDescent="0.4">
      <c r="A11659" s="4"/>
      <c r="B11659" s="4"/>
      <c r="D11659" s="4"/>
      <c r="E11659" s="4"/>
      <c r="F11659" s="4"/>
    </row>
    <row r="11660" spans="1:6" x14ac:dyDescent="0.4">
      <c r="A11660" s="4"/>
      <c r="B11660" s="4"/>
      <c r="D11660" s="4"/>
      <c r="E11660" s="4"/>
      <c r="F11660" s="4"/>
    </row>
    <row r="11661" spans="1:6" x14ac:dyDescent="0.4">
      <c r="A11661" s="4"/>
      <c r="B11661" s="4"/>
      <c r="D11661" s="4"/>
      <c r="E11661" s="4"/>
      <c r="F11661" s="4"/>
    </row>
    <row r="11662" spans="1:6" x14ac:dyDescent="0.4">
      <c r="A11662" s="4"/>
      <c r="B11662" s="4"/>
      <c r="D11662" s="4"/>
      <c r="E11662" s="4"/>
      <c r="F11662" s="4"/>
    </row>
    <row r="11663" spans="1:6" x14ac:dyDescent="0.4">
      <c r="A11663" s="4"/>
      <c r="B11663" s="4"/>
      <c r="D11663" s="4"/>
      <c r="E11663" s="4"/>
      <c r="F11663" s="4"/>
    </row>
    <row r="11664" spans="1:6" x14ac:dyDescent="0.4">
      <c r="A11664" s="4"/>
      <c r="B11664" s="4"/>
      <c r="D11664" s="4"/>
      <c r="E11664" s="4"/>
      <c r="F11664" s="4"/>
    </row>
    <row r="11665" spans="1:6" x14ac:dyDescent="0.4">
      <c r="A11665" s="4"/>
      <c r="B11665" s="4"/>
      <c r="D11665" s="4"/>
      <c r="E11665" s="4"/>
      <c r="F11665" s="4"/>
    </row>
    <row r="11666" spans="1:6" x14ac:dyDescent="0.4">
      <c r="A11666" s="4"/>
      <c r="B11666" s="4"/>
      <c r="D11666" s="4"/>
      <c r="E11666" s="4"/>
      <c r="F11666" s="4"/>
    </row>
    <row r="11667" spans="1:6" x14ac:dyDescent="0.4">
      <c r="A11667" s="4"/>
      <c r="B11667" s="4"/>
      <c r="D11667" s="4"/>
      <c r="E11667" s="4"/>
      <c r="F11667" s="4"/>
    </row>
    <row r="11668" spans="1:6" x14ac:dyDescent="0.4">
      <c r="A11668" s="4"/>
      <c r="B11668" s="4"/>
      <c r="D11668" s="4"/>
      <c r="E11668" s="4"/>
      <c r="F11668" s="4"/>
    </row>
    <row r="11669" spans="1:6" x14ac:dyDescent="0.4">
      <c r="A11669" s="4"/>
      <c r="B11669" s="4"/>
      <c r="D11669" s="4"/>
      <c r="E11669" s="4"/>
      <c r="F11669" s="4"/>
    </row>
    <row r="11670" spans="1:6" x14ac:dyDescent="0.4">
      <c r="A11670" s="4"/>
      <c r="B11670" s="4"/>
      <c r="D11670" s="4"/>
      <c r="E11670" s="4"/>
      <c r="F11670" s="4"/>
    </row>
    <row r="11671" spans="1:6" x14ac:dyDescent="0.4">
      <c r="A11671" s="4"/>
      <c r="B11671" s="4"/>
      <c r="D11671" s="4"/>
      <c r="E11671" s="4"/>
      <c r="F11671" s="4"/>
    </row>
    <row r="11672" spans="1:6" x14ac:dyDescent="0.4">
      <c r="A11672" s="4"/>
      <c r="B11672" s="4"/>
      <c r="D11672" s="4"/>
      <c r="E11672" s="4"/>
      <c r="F11672" s="4"/>
    </row>
    <row r="11673" spans="1:6" x14ac:dyDescent="0.4">
      <c r="A11673" s="4"/>
      <c r="B11673" s="4"/>
      <c r="D11673" s="4"/>
      <c r="E11673" s="4"/>
      <c r="F11673" s="4"/>
    </row>
    <row r="11674" spans="1:6" x14ac:dyDescent="0.4">
      <c r="A11674" s="4"/>
      <c r="B11674" s="4"/>
      <c r="D11674" s="4"/>
      <c r="E11674" s="4"/>
      <c r="F11674" s="4"/>
    </row>
    <row r="11675" spans="1:6" x14ac:dyDescent="0.4">
      <c r="A11675" s="4"/>
      <c r="B11675" s="4"/>
      <c r="D11675" s="4"/>
      <c r="E11675" s="4"/>
      <c r="F11675" s="4"/>
    </row>
    <row r="11676" spans="1:6" x14ac:dyDescent="0.4">
      <c r="A11676" s="4"/>
      <c r="B11676" s="4"/>
      <c r="D11676" s="4"/>
      <c r="E11676" s="4"/>
      <c r="F11676" s="4"/>
    </row>
    <row r="11677" spans="1:6" x14ac:dyDescent="0.4">
      <c r="A11677" s="4"/>
      <c r="B11677" s="4"/>
      <c r="D11677" s="4"/>
      <c r="E11677" s="4"/>
      <c r="F11677" s="4"/>
    </row>
    <row r="11678" spans="1:6" x14ac:dyDescent="0.4">
      <c r="A11678" s="4"/>
      <c r="B11678" s="4"/>
      <c r="D11678" s="4"/>
      <c r="E11678" s="4"/>
      <c r="F11678" s="4"/>
    </row>
    <row r="11679" spans="1:6" x14ac:dyDescent="0.4">
      <c r="A11679" s="4"/>
      <c r="B11679" s="4"/>
      <c r="D11679" s="4"/>
      <c r="E11679" s="4"/>
      <c r="F11679" s="4"/>
    </row>
    <row r="11680" spans="1:6" x14ac:dyDescent="0.4">
      <c r="A11680" s="4"/>
      <c r="B11680" s="4"/>
      <c r="D11680" s="4"/>
      <c r="E11680" s="4"/>
      <c r="F11680" s="4"/>
    </row>
    <row r="11681" spans="1:6" x14ac:dyDescent="0.4">
      <c r="A11681" s="4"/>
      <c r="B11681" s="4"/>
      <c r="D11681" s="4"/>
      <c r="E11681" s="4"/>
      <c r="F11681" s="4"/>
    </row>
    <row r="11682" spans="1:6" x14ac:dyDescent="0.4">
      <c r="A11682" s="4"/>
      <c r="B11682" s="4"/>
      <c r="D11682" s="4"/>
      <c r="E11682" s="4"/>
      <c r="F11682" s="4"/>
    </row>
    <row r="11683" spans="1:6" x14ac:dyDescent="0.4">
      <c r="A11683" s="4"/>
      <c r="B11683" s="4"/>
      <c r="D11683" s="4"/>
      <c r="E11683" s="4"/>
      <c r="F11683" s="4"/>
    </row>
    <row r="11684" spans="1:6" x14ac:dyDescent="0.4">
      <c r="A11684" s="4"/>
      <c r="B11684" s="4"/>
      <c r="D11684" s="4"/>
      <c r="E11684" s="4"/>
      <c r="F11684" s="4"/>
    </row>
    <row r="11685" spans="1:6" x14ac:dyDescent="0.4">
      <c r="A11685" s="4"/>
      <c r="B11685" s="4"/>
      <c r="D11685" s="4"/>
      <c r="E11685" s="4"/>
      <c r="F11685" s="4"/>
    </row>
    <row r="11686" spans="1:6" x14ac:dyDescent="0.4">
      <c r="A11686" s="4"/>
      <c r="B11686" s="4"/>
      <c r="D11686" s="4"/>
      <c r="E11686" s="4"/>
      <c r="F11686" s="4"/>
    </row>
    <row r="11687" spans="1:6" x14ac:dyDescent="0.4">
      <c r="A11687" s="4"/>
      <c r="B11687" s="4"/>
      <c r="D11687" s="4"/>
      <c r="E11687" s="4"/>
      <c r="F11687" s="4"/>
    </row>
    <row r="11688" spans="1:6" x14ac:dyDescent="0.4">
      <c r="A11688" s="4"/>
      <c r="B11688" s="4"/>
      <c r="D11688" s="4"/>
      <c r="E11688" s="4"/>
      <c r="F11688" s="4"/>
    </row>
    <row r="11689" spans="1:6" x14ac:dyDescent="0.4">
      <c r="A11689" s="4"/>
      <c r="B11689" s="4"/>
      <c r="D11689" s="4"/>
      <c r="E11689" s="4"/>
      <c r="F11689" s="4"/>
    </row>
    <row r="11690" spans="1:6" x14ac:dyDescent="0.4">
      <c r="A11690" s="4"/>
      <c r="B11690" s="4"/>
      <c r="D11690" s="4"/>
      <c r="E11690" s="4"/>
      <c r="F11690" s="4"/>
    </row>
    <row r="11691" spans="1:6" x14ac:dyDescent="0.4">
      <c r="A11691" s="4"/>
      <c r="B11691" s="4"/>
      <c r="D11691" s="4"/>
      <c r="E11691" s="4"/>
      <c r="F11691" s="4"/>
    </row>
    <row r="11692" spans="1:6" x14ac:dyDescent="0.4">
      <c r="A11692" s="4"/>
      <c r="B11692" s="4"/>
      <c r="D11692" s="4"/>
      <c r="E11692" s="4"/>
      <c r="F11692" s="4"/>
    </row>
    <row r="11693" spans="1:6" x14ac:dyDescent="0.4">
      <c r="A11693" s="4"/>
      <c r="B11693" s="4"/>
      <c r="D11693" s="4"/>
      <c r="E11693" s="4"/>
      <c r="F11693" s="4"/>
    </row>
    <row r="11694" spans="1:6" x14ac:dyDescent="0.4">
      <c r="A11694" s="4"/>
      <c r="B11694" s="4"/>
      <c r="D11694" s="4"/>
      <c r="E11694" s="4"/>
      <c r="F11694" s="4"/>
    </row>
    <row r="11695" spans="1:6" x14ac:dyDescent="0.4">
      <c r="A11695" s="4"/>
      <c r="B11695" s="4"/>
      <c r="D11695" s="4"/>
      <c r="E11695" s="4"/>
      <c r="F11695" s="4"/>
    </row>
    <row r="11696" spans="1:6" x14ac:dyDescent="0.4">
      <c r="A11696" s="4"/>
      <c r="B11696" s="4"/>
      <c r="D11696" s="4"/>
      <c r="E11696" s="4"/>
      <c r="F11696" s="4"/>
    </row>
    <row r="11697" spans="1:6" x14ac:dyDescent="0.4">
      <c r="A11697" s="4"/>
      <c r="B11697" s="4"/>
      <c r="D11697" s="4"/>
      <c r="E11697" s="4"/>
      <c r="F11697" s="4"/>
    </row>
    <row r="11698" spans="1:6" x14ac:dyDescent="0.4">
      <c r="A11698" s="4"/>
      <c r="B11698" s="4"/>
      <c r="D11698" s="4"/>
      <c r="E11698" s="4"/>
      <c r="F11698" s="4"/>
    </row>
    <row r="11699" spans="1:6" x14ac:dyDescent="0.4">
      <c r="A11699" s="4"/>
      <c r="B11699" s="4"/>
      <c r="D11699" s="4"/>
      <c r="E11699" s="4"/>
      <c r="F11699" s="4"/>
    </row>
    <row r="11700" spans="1:6" x14ac:dyDescent="0.4">
      <c r="A11700" s="4"/>
      <c r="B11700" s="4"/>
      <c r="D11700" s="4"/>
      <c r="E11700" s="4"/>
      <c r="F11700" s="4"/>
    </row>
    <row r="11701" spans="1:6" x14ac:dyDescent="0.4">
      <c r="A11701" s="4"/>
      <c r="B11701" s="4"/>
      <c r="D11701" s="4"/>
      <c r="E11701" s="4"/>
      <c r="F11701" s="4"/>
    </row>
    <row r="11702" spans="1:6" x14ac:dyDescent="0.4">
      <c r="A11702" s="4"/>
      <c r="B11702" s="4"/>
      <c r="D11702" s="4"/>
      <c r="E11702" s="4"/>
      <c r="F11702" s="4"/>
    </row>
    <row r="11703" spans="1:6" x14ac:dyDescent="0.4">
      <c r="A11703" s="4"/>
      <c r="B11703" s="4"/>
      <c r="D11703" s="4"/>
      <c r="E11703" s="4"/>
      <c r="F11703" s="4"/>
    </row>
    <row r="11704" spans="1:6" x14ac:dyDescent="0.4">
      <c r="A11704" s="4"/>
      <c r="B11704" s="4"/>
      <c r="D11704" s="4"/>
      <c r="E11704" s="4"/>
      <c r="F11704" s="4"/>
    </row>
    <row r="11705" spans="1:6" x14ac:dyDescent="0.4">
      <c r="A11705" s="4"/>
      <c r="B11705" s="4"/>
      <c r="D11705" s="4"/>
      <c r="E11705" s="4"/>
      <c r="F11705" s="4"/>
    </row>
    <row r="11706" spans="1:6" x14ac:dyDescent="0.4">
      <c r="A11706" s="4"/>
      <c r="B11706" s="4"/>
      <c r="D11706" s="4"/>
      <c r="E11706" s="4"/>
      <c r="F11706" s="4"/>
    </row>
    <row r="11707" spans="1:6" x14ac:dyDescent="0.4">
      <c r="A11707" s="4"/>
      <c r="B11707" s="4"/>
      <c r="D11707" s="4"/>
      <c r="E11707" s="4"/>
      <c r="F11707" s="4"/>
    </row>
    <row r="11708" spans="1:6" x14ac:dyDescent="0.4">
      <c r="A11708" s="4"/>
      <c r="B11708" s="4"/>
      <c r="D11708" s="4"/>
      <c r="E11708" s="4"/>
      <c r="F11708" s="4"/>
    </row>
    <row r="11709" spans="1:6" x14ac:dyDescent="0.4">
      <c r="A11709" s="4"/>
      <c r="B11709" s="4"/>
      <c r="D11709" s="4"/>
      <c r="E11709" s="4"/>
      <c r="F11709" s="4"/>
    </row>
    <row r="11710" spans="1:6" x14ac:dyDescent="0.4">
      <c r="A11710" s="4"/>
      <c r="B11710" s="4"/>
      <c r="D11710" s="4"/>
      <c r="E11710" s="4"/>
      <c r="F11710" s="4"/>
    </row>
    <row r="11711" spans="1:6" x14ac:dyDescent="0.4">
      <c r="A11711" s="4"/>
      <c r="B11711" s="4"/>
      <c r="D11711" s="4"/>
      <c r="E11711" s="4"/>
      <c r="F11711" s="4"/>
    </row>
    <row r="11712" spans="1:6" x14ac:dyDescent="0.4">
      <c r="A11712" s="4"/>
      <c r="B11712" s="4"/>
      <c r="D11712" s="4"/>
      <c r="E11712" s="4"/>
      <c r="F11712" s="4"/>
    </row>
    <row r="11713" spans="1:6" x14ac:dyDescent="0.4">
      <c r="A11713" s="4"/>
      <c r="B11713" s="4"/>
      <c r="D11713" s="4"/>
      <c r="E11713" s="4"/>
      <c r="F11713" s="4"/>
    </row>
    <row r="11714" spans="1:6" x14ac:dyDescent="0.4">
      <c r="A11714" s="4"/>
      <c r="B11714" s="4"/>
      <c r="D11714" s="4"/>
      <c r="E11714" s="4"/>
      <c r="F11714" s="4"/>
    </row>
    <row r="11715" spans="1:6" x14ac:dyDescent="0.4">
      <c r="A11715" s="4"/>
      <c r="B11715" s="4"/>
      <c r="D11715" s="4"/>
      <c r="E11715" s="4"/>
      <c r="F11715" s="4"/>
    </row>
    <row r="11716" spans="1:6" x14ac:dyDescent="0.4">
      <c r="A11716" s="4"/>
      <c r="B11716" s="4"/>
      <c r="D11716" s="4"/>
      <c r="E11716" s="4"/>
      <c r="F11716" s="4"/>
    </row>
    <row r="11717" spans="1:6" x14ac:dyDescent="0.4">
      <c r="A11717" s="4"/>
      <c r="B11717" s="4"/>
      <c r="D11717" s="4"/>
      <c r="E11717" s="4"/>
      <c r="F11717" s="4"/>
    </row>
    <row r="11718" spans="1:6" x14ac:dyDescent="0.4">
      <c r="A11718" s="4"/>
      <c r="B11718" s="4"/>
      <c r="D11718" s="4"/>
      <c r="E11718" s="4"/>
      <c r="F11718" s="4"/>
    </row>
    <row r="11719" spans="1:6" x14ac:dyDescent="0.4">
      <c r="A11719" s="4"/>
      <c r="B11719" s="4"/>
      <c r="D11719" s="4"/>
      <c r="E11719" s="4"/>
      <c r="F11719" s="4"/>
    </row>
    <row r="11720" spans="1:6" x14ac:dyDescent="0.4">
      <c r="A11720" s="4"/>
      <c r="B11720" s="4"/>
      <c r="D11720" s="4"/>
      <c r="E11720" s="4"/>
      <c r="F11720" s="4"/>
    </row>
    <row r="11721" spans="1:6" x14ac:dyDescent="0.4">
      <c r="A11721" s="4"/>
      <c r="B11721" s="4"/>
      <c r="D11721" s="4"/>
      <c r="E11721" s="4"/>
      <c r="F11721" s="4"/>
    </row>
    <row r="11722" spans="1:6" x14ac:dyDescent="0.4">
      <c r="A11722" s="4"/>
      <c r="B11722" s="4"/>
      <c r="D11722" s="4"/>
      <c r="E11722" s="4"/>
      <c r="F11722" s="4"/>
    </row>
    <row r="11723" spans="1:6" x14ac:dyDescent="0.4">
      <c r="A11723" s="4"/>
      <c r="B11723" s="4"/>
      <c r="D11723" s="4"/>
      <c r="E11723" s="4"/>
      <c r="F11723" s="4"/>
    </row>
    <row r="11724" spans="1:6" x14ac:dyDescent="0.4">
      <c r="A11724" s="4"/>
      <c r="B11724" s="4"/>
      <c r="D11724" s="4"/>
      <c r="E11724" s="4"/>
      <c r="F11724" s="4"/>
    </row>
    <row r="11725" spans="1:6" x14ac:dyDescent="0.4">
      <c r="A11725" s="4"/>
      <c r="B11725" s="4"/>
      <c r="D11725" s="4"/>
      <c r="E11725" s="4"/>
      <c r="F11725" s="4"/>
    </row>
    <row r="11726" spans="1:6" x14ac:dyDescent="0.4">
      <c r="A11726" s="4"/>
      <c r="B11726" s="4"/>
      <c r="D11726" s="4"/>
      <c r="E11726" s="4"/>
      <c r="F11726" s="4"/>
    </row>
    <row r="11727" spans="1:6" x14ac:dyDescent="0.4">
      <c r="A11727" s="4"/>
      <c r="B11727" s="4"/>
      <c r="D11727" s="4"/>
      <c r="E11727" s="4"/>
      <c r="F11727" s="4"/>
    </row>
    <row r="11728" spans="1:6" x14ac:dyDescent="0.4">
      <c r="A11728" s="4"/>
      <c r="B11728" s="4"/>
      <c r="D11728" s="4"/>
      <c r="E11728" s="4"/>
      <c r="F11728" s="4"/>
    </row>
    <row r="11729" spans="1:6" x14ac:dyDescent="0.4">
      <c r="A11729" s="4"/>
      <c r="B11729" s="4"/>
      <c r="D11729" s="4"/>
      <c r="E11729" s="4"/>
      <c r="F11729" s="4"/>
    </row>
    <row r="11730" spans="1:6" x14ac:dyDescent="0.4">
      <c r="A11730" s="4"/>
      <c r="B11730" s="4"/>
      <c r="D11730" s="4"/>
      <c r="E11730" s="4"/>
      <c r="F11730" s="4"/>
    </row>
    <row r="11731" spans="1:6" x14ac:dyDescent="0.4">
      <c r="A11731" s="4"/>
      <c r="B11731" s="4"/>
      <c r="D11731" s="4"/>
      <c r="E11731" s="4"/>
      <c r="F11731" s="4"/>
    </row>
    <row r="11732" spans="1:6" x14ac:dyDescent="0.4">
      <c r="A11732" s="4"/>
      <c r="B11732" s="4"/>
      <c r="D11732" s="4"/>
      <c r="E11732" s="4"/>
      <c r="F11732" s="4"/>
    </row>
    <row r="11733" spans="1:6" x14ac:dyDescent="0.4">
      <c r="A11733" s="4"/>
      <c r="B11733" s="4"/>
      <c r="D11733" s="4"/>
      <c r="E11733" s="4"/>
      <c r="F11733" s="4"/>
    </row>
    <row r="11734" spans="1:6" x14ac:dyDescent="0.4">
      <c r="A11734" s="4"/>
      <c r="B11734" s="4"/>
      <c r="D11734" s="4"/>
      <c r="E11734" s="4"/>
      <c r="F11734" s="4"/>
    </row>
    <row r="11735" spans="1:6" x14ac:dyDescent="0.4">
      <c r="A11735" s="4"/>
      <c r="B11735" s="4"/>
      <c r="D11735" s="4"/>
      <c r="E11735" s="4"/>
      <c r="F11735" s="4"/>
    </row>
    <row r="11736" spans="1:6" x14ac:dyDescent="0.4">
      <c r="A11736" s="4"/>
      <c r="B11736" s="4"/>
    </row>
    <row r="11737" spans="1:6" x14ac:dyDescent="0.4">
      <c r="A11737" s="4"/>
      <c r="B11737" s="4"/>
    </row>
    <row r="11738" spans="1:6" x14ac:dyDescent="0.4">
      <c r="A11738" s="4"/>
      <c r="B11738" s="4"/>
    </row>
    <row r="11739" spans="1:6" x14ac:dyDescent="0.4">
      <c r="A11739" s="4"/>
      <c r="B11739" s="4"/>
    </row>
    <row r="11740" spans="1:6" x14ac:dyDescent="0.4">
      <c r="A11740" s="4"/>
      <c r="B11740" s="4"/>
    </row>
    <row r="11741" spans="1:6" x14ac:dyDescent="0.4">
      <c r="A11741" s="4"/>
      <c r="B11741" s="4"/>
    </row>
    <row r="11742" spans="1:6" x14ac:dyDescent="0.4">
      <c r="A11742" s="4"/>
      <c r="B11742" s="4"/>
    </row>
    <row r="11743" spans="1:6" x14ac:dyDescent="0.4">
      <c r="A11743" s="4"/>
      <c r="B11743" s="4"/>
    </row>
    <row r="11744" spans="1:6" x14ac:dyDescent="0.4">
      <c r="A11744" s="4"/>
      <c r="B11744" s="4"/>
    </row>
    <row r="11745" spans="1:2" x14ac:dyDescent="0.4">
      <c r="A11745" s="4"/>
      <c r="B11745" s="4"/>
    </row>
    <row r="11746" spans="1:2" x14ac:dyDescent="0.4">
      <c r="A11746" s="4"/>
      <c r="B11746" s="4"/>
    </row>
    <row r="11747" spans="1:2" x14ac:dyDescent="0.4">
      <c r="A11747" s="4"/>
      <c r="B11747" s="4"/>
    </row>
    <row r="11748" spans="1:2" x14ac:dyDescent="0.4">
      <c r="A11748" s="4"/>
      <c r="B11748" s="4"/>
    </row>
    <row r="11749" spans="1:2" x14ac:dyDescent="0.4">
      <c r="A11749" s="4"/>
      <c r="B11749" s="4"/>
    </row>
    <row r="11750" spans="1:2" x14ac:dyDescent="0.4">
      <c r="A11750" s="4"/>
      <c r="B11750" s="4"/>
    </row>
    <row r="11751" spans="1:2" x14ac:dyDescent="0.4">
      <c r="A11751" s="4"/>
      <c r="B11751" s="4"/>
    </row>
    <row r="11752" spans="1:2" x14ac:dyDescent="0.4">
      <c r="A11752" s="4"/>
      <c r="B11752" s="4"/>
    </row>
    <row r="11753" spans="1:2" x14ac:dyDescent="0.4">
      <c r="A11753" s="4"/>
      <c r="B11753" s="4"/>
    </row>
    <row r="11754" spans="1:2" x14ac:dyDescent="0.4">
      <c r="A11754" s="4"/>
      <c r="B11754" s="4"/>
    </row>
    <row r="11755" spans="1:2" x14ac:dyDescent="0.4">
      <c r="A11755" s="4"/>
      <c r="B11755" s="4"/>
    </row>
    <row r="11756" spans="1:2" x14ac:dyDescent="0.4">
      <c r="A11756" s="4"/>
      <c r="B11756" s="4"/>
    </row>
    <row r="11757" spans="1:2" x14ac:dyDescent="0.4">
      <c r="A11757" s="4"/>
      <c r="B11757" s="4"/>
    </row>
    <row r="11758" spans="1:2" x14ac:dyDescent="0.4">
      <c r="A11758" s="4"/>
      <c r="B11758" s="4"/>
    </row>
    <row r="11759" spans="1:2" x14ac:dyDescent="0.4">
      <c r="A11759" s="4"/>
      <c r="B11759" s="4"/>
    </row>
    <row r="11760" spans="1:2" x14ac:dyDescent="0.4">
      <c r="A11760" s="4"/>
      <c r="B11760" s="4"/>
    </row>
    <row r="11761" spans="1:2" x14ac:dyDescent="0.4">
      <c r="A11761" s="4"/>
      <c r="B11761" s="4"/>
    </row>
    <row r="11762" spans="1:2" x14ac:dyDescent="0.4">
      <c r="A11762" s="4"/>
      <c r="B11762" s="4"/>
    </row>
    <row r="11763" spans="1:2" x14ac:dyDescent="0.4">
      <c r="A11763" s="4"/>
      <c r="B11763" s="4"/>
    </row>
    <row r="11764" spans="1:2" x14ac:dyDescent="0.4">
      <c r="A11764" s="4"/>
      <c r="B11764" s="4"/>
    </row>
    <row r="11765" spans="1:2" x14ac:dyDescent="0.4">
      <c r="A11765" s="4"/>
      <c r="B11765" s="4"/>
    </row>
    <row r="11766" spans="1:2" x14ac:dyDescent="0.4">
      <c r="A11766" s="4"/>
      <c r="B11766" s="4"/>
    </row>
    <row r="11767" spans="1:2" x14ac:dyDescent="0.4">
      <c r="A11767" s="4"/>
      <c r="B11767" s="4"/>
    </row>
    <row r="11768" spans="1:2" x14ac:dyDescent="0.4">
      <c r="A11768" s="4"/>
      <c r="B11768" s="4"/>
    </row>
    <row r="11769" spans="1:2" x14ac:dyDescent="0.4">
      <c r="A11769" s="4"/>
      <c r="B11769" s="4"/>
    </row>
    <row r="11770" spans="1:2" x14ac:dyDescent="0.4">
      <c r="A11770" s="4"/>
      <c r="B11770" s="4"/>
    </row>
    <row r="11771" spans="1:2" x14ac:dyDescent="0.4">
      <c r="A11771" s="4"/>
      <c r="B11771" s="4"/>
    </row>
    <row r="11772" spans="1:2" x14ac:dyDescent="0.4">
      <c r="A11772" s="4"/>
      <c r="B11772" s="4"/>
    </row>
    <row r="11773" spans="1:2" x14ac:dyDescent="0.4">
      <c r="A11773" s="4"/>
      <c r="B11773" s="4"/>
    </row>
    <row r="11774" spans="1:2" x14ac:dyDescent="0.4">
      <c r="A11774" s="4"/>
      <c r="B11774" s="4"/>
    </row>
    <row r="11775" spans="1:2" x14ac:dyDescent="0.4">
      <c r="A11775" s="4"/>
      <c r="B11775" s="4"/>
    </row>
    <row r="11776" spans="1:2" x14ac:dyDescent="0.4">
      <c r="A11776" s="4"/>
      <c r="B11776" s="4"/>
    </row>
    <row r="11777" spans="1:2" x14ac:dyDescent="0.4">
      <c r="A11777" s="4"/>
      <c r="B11777" s="4"/>
    </row>
    <row r="11778" spans="1:2" x14ac:dyDescent="0.4">
      <c r="A11778" s="4"/>
      <c r="B11778" s="4"/>
    </row>
    <row r="11779" spans="1:2" x14ac:dyDescent="0.4">
      <c r="A11779" s="4"/>
      <c r="B11779" s="4"/>
    </row>
    <row r="11780" spans="1:2" x14ac:dyDescent="0.4">
      <c r="A11780" s="4"/>
      <c r="B11780" s="4"/>
    </row>
    <row r="11781" spans="1:2" x14ac:dyDescent="0.4">
      <c r="A11781" s="4"/>
      <c r="B11781" s="4"/>
    </row>
    <row r="11782" spans="1:2" x14ac:dyDescent="0.4">
      <c r="A11782" s="4"/>
      <c r="B11782" s="4"/>
    </row>
    <row r="11783" spans="1:2" x14ac:dyDescent="0.4">
      <c r="A11783" s="4"/>
      <c r="B11783" s="4"/>
    </row>
    <row r="11784" spans="1:2" x14ac:dyDescent="0.4">
      <c r="A11784" s="4"/>
      <c r="B11784" s="4"/>
    </row>
    <row r="11785" spans="1:2" x14ac:dyDescent="0.4">
      <c r="A11785" s="4"/>
      <c r="B11785" s="4"/>
    </row>
    <row r="11786" spans="1:2" x14ac:dyDescent="0.4">
      <c r="A11786" s="4"/>
      <c r="B11786" s="4"/>
    </row>
    <row r="11787" spans="1:2" x14ac:dyDescent="0.4">
      <c r="A11787" s="4"/>
      <c r="B11787" s="4"/>
    </row>
    <row r="11788" spans="1:2" x14ac:dyDescent="0.4">
      <c r="A11788" s="4"/>
      <c r="B11788" s="4"/>
    </row>
    <row r="11789" spans="1:2" x14ac:dyDescent="0.4">
      <c r="A11789" s="4"/>
      <c r="B11789" s="4"/>
    </row>
    <row r="11790" spans="1:2" x14ac:dyDescent="0.4">
      <c r="A11790" s="4"/>
      <c r="B11790" s="4"/>
    </row>
    <row r="11791" spans="1:2" x14ac:dyDescent="0.4">
      <c r="A11791" s="4"/>
      <c r="B11791" s="4"/>
    </row>
    <row r="11792" spans="1:2" x14ac:dyDescent="0.4">
      <c r="A11792" s="4"/>
      <c r="B11792" s="4"/>
    </row>
    <row r="11793" spans="1:2" x14ac:dyDescent="0.4">
      <c r="A11793" s="4"/>
      <c r="B11793" s="4"/>
    </row>
    <row r="11794" spans="1:2" x14ac:dyDescent="0.4">
      <c r="A11794" s="4"/>
      <c r="B11794" s="4"/>
    </row>
    <row r="11795" spans="1:2" x14ac:dyDescent="0.4">
      <c r="A11795" s="4"/>
      <c r="B11795" s="4"/>
    </row>
    <row r="11796" spans="1:2" x14ac:dyDescent="0.4">
      <c r="A11796" s="4"/>
      <c r="B11796" s="4"/>
    </row>
    <row r="11797" spans="1:2" x14ac:dyDescent="0.4">
      <c r="A11797" s="4"/>
      <c r="B11797" s="4"/>
    </row>
    <row r="11798" spans="1:2" x14ac:dyDescent="0.4">
      <c r="A11798" s="4"/>
      <c r="B11798" s="4"/>
    </row>
    <row r="11799" spans="1:2" x14ac:dyDescent="0.4">
      <c r="A11799" s="4"/>
      <c r="B11799" s="4"/>
    </row>
    <row r="11800" spans="1:2" x14ac:dyDescent="0.4">
      <c r="A11800" s="4"/>
      <c r="B11800" s="4"/>
    </row>
    <row r="11801" spans="1:2" x14ac:dyDescent="0.4">
      <c r="A11801" s="4"/>
      <c r="B11801" s="4"/>
    </row>
    <row r="11802" spans="1:2" x14ac:dyDescent="0.4">
      <c r="A11802" s="4"/>
      <c r="B11802" s="4"/>
    </row>
    <row r="11803" spans="1:2" x14ac:dyDescent="0.4">
      <c r="A11803" s="4"/>
      <c r="B11803" s="4"/>
    </row>
    <row r="11804" spans="1:2" x14ac:dyDescent="0.4">
      <c r="A11804" s="4"/>
      <c r="B11804" s="4"/>
    </row>
    <row r="11805" spans="1:2" x14ac:dyDescent="0.4">
      <c r="A11805" s="4"/>
      <c r="B11805" s="4"/>
    </row>
    <row r="11806" spans="1:2" x14ac:dyDescent="0.4">
      <c r="A11806" s="4"/>
      <c r="B11806" s="4"/>
    </row>
    <row r="11807" spans="1:2" x14ac:dyDescent="0.4">
      <c r="A11807" s="4"/>
      <c r="B11807" s="4"/>
    </row>
    <row r="11808" spans="1:2" x14ac:dyDescent="0.4">
      <c r="A11808" s="4"/>
      <c r="B11808" s="4"/>
    </row>
    <row r="11809" spans="1:2" x14ac:dyDescent="0.4">
      <c r="A11809" s="4"/>
      <c r="B11809" s="4"/>
    </row>
    <row r="11810" spans="1:2" x14ac:dyDescent="0.4">
      <c r="A11810" s="4"/>
      <c r="B11810" s="4"/>
    </row>
    <row r="11811" spans="1:2" x14ac:dyDescent="0.4">
      <c r="A11811" s="4"/>
      <c r="B11811" s="4"/>
    </row>
    <row r="11812" spans="1:2" x14ac:dyDescent="0.4">
      <c r="A11812" s="4"/>
      <c r="B11812" s="4"/>
    </row>
    <row r="11813" spans="1:2" x14ac:dyDescent="0.4">
      <c r="A11813" s="4"/>
      <c r="B11813" s="4"/>
    </row>
    <row r="11814" spans="1:2" x14ac:dyDescent="0.4">
      <c r="A11814" s="4"/>
      <c r="B11814" s="4"/>
    </row>
    <row r="11815" spans="1:2" x14ac:dyDescent="0.4">
      <c r="A11815" s="4"/>
      <c r="B11815" s="4"/>
    </row>
    <row r="11816" spans="1:2" x14ac:dyDescent="0.4">
      <c r="A11816" s="4"/>
      <c r="B11816" s="4"/>
    </row>
    <row r="11817" spans="1:2" x14ac:dyDescent="0.4">
      <c r="A11817" s="4"/>
      <c r="B11817" s="4"/>
    </row>
    <row r="11818" spans="1:2" x14ac:dyDescent="0.4">
      <c r="A11818" s="4"/>
      <c r="B11818" s="4"/>
    </row>
    <row r="11819" spans="1:2" x14ac:dyDescent="0.4">
      <c r="A11819" s="4"/>
      <c r="B11819" s="4"/>
    </row>
    <row r="11820" spans="1:2" x14ac:dyDescent="0.4">
      <c r="A11820" s="4"/>
      <c r="B11820" s="4"/>
    </row>
    <row r="11821" spans="1:2" x14ac:dyDescent="0.4">
      <c r="A11821" s="4"/>
      <c r="B11821" s="4"/>
    </row>
    <row r="11822" spans="1:2" x14ac:dyDescent="0.4">
      <c r="A11822" s="4"/>
      <c r="B11822" s="4"/>
    </row>
    <row r="11823" spans="1:2" x14ac:dyDescent="0.4">
      <c r="A11823" s="4"/>
      <c r="B11823" s="4"/>
    </row>
    <row r="11824" spans="1:2" x14ac:dyDescent="0.4">
      <c r="A11824" s="4"/>
      <c r="B11824" s="4"/>
    </row>
    <row r="11825" spans="1:2" x14ac:dyDescent="0.4">
      <c r="A11825" s="4"/>
      <c r="B11825" s="4"/>
    </row>
    <row r="11826" spans="1:2" x14ac:dyDescent="0.4">
      <c r="A11826" s="4"/>
      <c r="B11826" s="4"/>
    </row>
    <row r="11827" spans="1:2" x14ac:dyDescent="0.4">
      <c r="A11827" s="4"/>
      <c r="B11827" s="4"/>
    </row>
    <row r="11828" spans="1:2" x14ac:dyDescent="0.4">
      <c r="A11828" s="4"/>
      <c r="B11828" s="4"/>
    </row>
    <row r="11829" spans="1:2" x14ac:dyDescent="0.4">
      <c r="A11829" s="4"/>
      <c r="B11829" s="4"/>
    </row>
    <row r="11830" spans="1:2" x14ac:dyDescent="0.4">
      <c r="A11830" s="4"/>
      <c r="B11830" s="4"/>
    </row>
    <row r="11831" spans="1:2" x14ac:dyDescent="0.4">
      <c r="A11831" s="4"/>
      <c r="B11831" s="4"/>
    </row>
    <row r="11832" spans="1:2" x14ac:dyDescent="0.4">
      <c r="A11832" s="4"/>
      <c r="B11832" s="4"/>
    </row>
    <row r="11833" spans="1:2" x14ac:dyDescent="0.4">
      <c r="A11833" s="4"/>
      <c r="B11833" s="4"/>
    </row>
    <row r="11834" spans="1:2" x14ac:dyDescent="0.4">
      <c r="A11834" s="4"/>
      <c r="B11834" s="4"/>
    </row>
    <row r="11835" spans="1:2" x14ac:dyDescent="0.4">
      <c r="A11835" s="4"/>
      <c r="B11835" s="4"/>
    </row>
    <row r="11836" spans="1:2" x14ac:dyDescent="0.4">
      <c r="A11836" s="4"/>
      <c r="B11836" s="4"/>
    </row>
    <row r="11837" spans="1:2" x14ac:dyDescent="0.4">
      <c r="A11837" s="4"/>
      <c r="B11837" s="4"/>
    </row>
    <row r="11838" spans="1:2" x14ac:dyDescent="0.4">
      <c r="A11838" s="4"/>
      <c r="B11838" s="4"/>
    </row>
    <row r="11839" spans="1:2" x14ac:dyDescent="0.4">
      <c r="A11839" s="4"/>
      <c r="B11839" s="4"/>
    </row>
    <row r="11840" spans="1:2" x14ac:dyDescent="0.4">
      <c r="A11840" s="4"/>
      <c r="B11840" s="4"/>
    </row>
    <row r="11841" spans="1:2" x14ac:dyDescent="0.4">
      <c r="A11841" s="4"/>
      <c r="B11841" s="4"/>
    </row>
    <row r="11842" spans="1:2" x14ac:dyDescent="0.4">
      <c r="A11842" s="4"/>
      <c r="B11842" s="4"/>
    </row>
    <row r="11843" spans="1:2" x14ac:dyDescent="0.4">
      <c r="A11843" s="4"/>
      <c r="B11843" s="4"/>
    </row>
    <row r="11844" spans="1:2" x14ac:dyDescent="0.4">
      <c r="A11844" s="4"/>
      <c r="B11844" s="4"/>
    </row>
    <row r="11845" spans="1:2" x14ac:dyDescent="0.4">
      <c r="A11845" s="4"/>
      <c r="B11845" s="4"/>
    </row>
    <row r="11846" spans="1:2" x14ac:dyDescent="0.4">
      <c r="A11846" s="4"/>
      <c r="B11846" s="4"/>
    </row>
    <row r="11847" spans="1:2" x14ac:dyDescent="0.4">
      <c r="A11847" s="4"/>
      <c r="B11847" s="4"/>
    </row>
    <row r="11848" spans="1:2" x14ac:dyDescent="0.4">
      <c r="A11848" s="4"/>
      <c r="B11848" s="4"/>
    </row>
    <row r="11849" spans="1:2" x14ac:dyDescent="0.4">
      <c r="A11849" s="4"/>
      <c r="B11849" s="4"/>
    </row>
    <row r="11850" spans="1:2" x14ac:dyDescent="0.4">
      <c r="A11850" s="4"/>
      <c r="B11850" s="4"/>
    </row>
    <row r="11851" spans="1:2" x14ac:dyDescent="0.4">
      <c r="A11851" s="4"/>
      <c r="B11851" s="4"/>
    </row>
    <row r="11852" spans="1:2" x14ac:dyDescent="0.4">
      <c r="A11852" s="4"/>
      <c r="B11852" s="4"/>
    </row>
    <row r="11853" spans="1:2" x14ac:dyDescent="0.4">
      <c r="A11853" s="4"/>
      <c r="B11853" s="4"/>
    </row>
    <row r="11854" spans="1:2" x14ac:dyDescent="0.4">
      <c r="A11854" s="4"/>
      <c r="B11854" s="4"/>
    </row>
    <row r="11855" spans="1:2" x14ac:dyDescent="0.4">
      <c r="A11855" s="4"/>
      <c r="B11855" s="4"/>
    </row>
    <row r="11856" spans="1:2" x14ac:dyDescent="0.4">
      <c r="A11856" s="4"/>
      <c r="B11856" s="4"/>
    </row>
    <row r="11857" spans="1:2" x14ac:dyDescent="0.4">
      <c r="A11857" s="4"/>
      <c r="B11857" s="4"/>
    </row>
    <row r="11858" spans="1:2" x14ac:dyDescent="0.4">
      <c r="A11858" s="4"/>
      <c r="B11858" s="4"/>
    </row>
    <row r="11859" spans="1:2" x14ac:dyDescent="0.4">
      <c r="A11859" s="4"/>
      <c r="B11859" s="4"/>
    </row>
    <row r="11860" spans="1:2" x14ac:dyDescent="0.4">
      <c r="A11860" s="4"/>
      <c r="B11860" s="4"/>
    </row>
    <row r="11861" spans="1:2" x14ac:dyDescent="0.4">
      <c r="A11861" s="4"/>
      <c r="B11861" s="4"/>
    </row>
    <row r="11862" spans="1:2" x14ac:dyDescent="0.4">
      <c r="A11862" s="4"/>
      <c r="B11862" s="4"/>
    </row>
    <row r="11863" spans="1:2" x14ac:dyDescent="0.4">
      <c r="A11863" s="4"/>
      <c r="B11863" s="4"/>
    </row>
    <row r="11864" spans="1:2" x14ac:dyDescent="0.4">
      <c r="A11864" s="4"/>
      <c r="B11864" s="4"/>
    </row>
    <row r="11865" spans="1:2" x14ac:dyDescent="0.4">
      <c r="A11865" s="4"/>
      <c r="B11865" s="4"/>
    </row>
    <row r="11866" spans="1:2" x14ac:dyDescent="0.4">
      <c r="A11866" s="4"/>
      <c r="B11866" s="4"/>
    </row>
    <row r="11867" spans="1:2" x14ac:dyDescent="0.4">
      <c r="A11867" s="4"/>
      <c r="B11867" s="4"/>
    </row>
    <row r="11868" spans="1:2" x14ac:dyDescent="0.4">
      <c r="A11868" s="4"/>
      <c r="B11868" s="4"/>
    </row>
    <row r="11869" spans="1:2" x14ac:dyDescent="0.4">
      <c r="A11869" s="4"/>
      <c r="B11869" s="4"/>
    </row>
    <row r="11870" spans="1:2" x14ac:dyDescent="0.4">
      <c r="A11870" s="4"/>
      <c r="B11870" s="4"/>
    </row>
    <row r="11871" spans="1:2" x14ac:dyDescent="0.4">
      <c r="A11871" s="4"/>
      <c r="B11871" s="4"/>
    </row>
    <row r="11872" spans="1:2" x14ac:dyDescent="0.4">
      <c r="A11872" s="4"/>
      <c r="B11872" s="4"/>
    </row>
    <row r="11873" spans="1:2" x14ac:dyDescent="0.4">
      <c r="A11873" s="4"/>
      <c r="B11873" s="4"/>
    </row>
    <row r="11874" spans="1:2" x14ac:dyDescent="0.4">
      <c r="A11874" s="4"/>
      <c r="B11874" s="4"/>
    </row>
    <row r="11875" spans="1:2" x14ac:dyDescent="0.4">
      <c r="A11875" s="4"/>
      <c r="B11875" s="4"/>
    </row>
    <row r="11876" spans="1:2" x14ac:dyDescent="0.4">
      <c r="A11876" s="4"/>
      <c r="B11876" s="4"/>
    </row>
    <row r="11877" spans="1:2" x14ac:dyDescent="0.4">
      <c r="A11877" s="4"/>
      <c r="B11877" s="4"/>
    </row>
    <row r="11878" spans="1:2" x14ac:dyDescent="0.4">
      <c r="A11878" s="4"/>
      <c r="B11878" s="4"/>
    </row>
    <row r="11879" spans="1:2" x14ac:dyDescent="0.4">
      <c r="A11879" s="4"/>
      <c r="B11879" s="4"/>
    </row>
    <row r="11880" spans="1:2" x14ac:dyDescent="0.4">
      <c r="A11880" s="4"/>
      <c r="B11880" s="4"/>
    </row>
    <row r="11881" spans="1:2" x14ac:dyDescent="0.4">
      <c r="A11881" s="4"/>
      <c r="B11881" s="4"/>
    </row>
    <row r="11882" spans="1:2" x14ac:dyDescent="0.4">
      <c r="A11882" s="4"/>
      <c r="B11882" s="4"/>
    </row>
    <row r="11883" spans="1:2" x14ac:dyDescent="0.4">
      <c r="A11883" s="4"/>
      <c r="B11883" s="4"/>
    </row>
    <row r="11884" spans="1:2" x14ac:dyDescent="0.4">
      <c r="A11884" s="4"/>
      <c r="B11884" s="4"/>
    </row>
    <row r="11885" spans="1:2" x14ac:dyDescent="0.4">
      <c r="A11885" s="4"/>
      <c r="B11885" s="4"/>
    </row>
    <row r="11886" spans="1:2" x14ac:dyDescent="0.4">
      <c r="A11886" s="4"/>
      <c r="B11886" s="4"/>
    </row>
    <row r="11887" spans="1:2" x14ac:dyDescent="0.4">
      <c r="A11887" s="4"/>
      <c r="B11887" s="4"/>
    </row>
    <row r="11888" spans="1:2" x14ac:dyDescent="0.4">
      <c r="A11888" s="4"/>
      <c r="B11888" s="4"/>
    </row>
    <row r="11889" spans="1:2" x14ac:dyDescent="0.4">
      <c r="A11889" s="4"/>
      <c r="B11889" s="4"/>
    </row>
    <row r="11890" spans="1:2" x14ac:dyDescent="0.4">
      <c r="A11890" s="4"/>
      <c r="B11890" s="4"/>
    </row>
    <row r="11891" spans="1:2" x14ac:dyDescent="0.4">
      <c r="A11891" s="4"/>
      <c r="B11891" s="4"/>
    </row>
    <row r="11892" spans="1:2" x14ac:dyDescent="0.4">
      <c r="A11892" s="4"/>
      <c r="B11892" s="4"/>
    </row>
    <row r="11893" spans="1:2" x14ac:dyDescent="0.4">
      <c r="A11893" s="4"/>
      <c r="B11893" s="4"/>
    </row>
    <row r="11894" spans="1:2" x14ac:dyDescent="0.4">
      <c r="A11894" s="4"/>
      <c r="B11894" s="4"/>
    </row>
    <row r="11895" spans="1:2" x14ac:dyDescent="0.4">
      <c r="A11895" s="4"/>
      <c r="B11895" s="4"/>
    </row>
    <row r="11896" spans="1:2" x14ac:dyDescent="0.4">
      <c r="A11896" s="4"/>
      <c r="B11896" s="4"/>
    </row>
    <row r="11897" spans="1:2" x14ac:dyDescent="0.4">
      <c r="A11897" s="4"/>
      <c r="B11897" s="4"/>
    </row>
    <row r="11898" spans="1:2" x14ac:dyDescent="0.4">
      <c r="A11898" s="4"/>
      <c r="B11898" s="4"/>
    </row>
    <row r="11899" spans="1:2" x14ac:dyDescent="0.4">
      <c r="A11899" s="4"/>
      <c r="B11899" s="4"/>
    </row>
    <row r="11900" spans="1:2" x14ac:dyDescent="0.4">
      <c r="A11900" s="4"/>
      <c r="B11900" s="4"/>
    </row>
    <row r="11901" spans="1:2" x14ac:dyDescent="0.4">
      <c r="A11901" s="4"/>
      <c r="B11901" s="4"/>
    </row>
    <row r="11902" spans="1:2" x14ac:dyDescent="0.4">
      <c r="A11902" s="4"/>
      <c r="B11902" s="4"/>
    </row>
    <row r="11903" spans="1:2" x14ac:dyDescent="0.4">
      <c r="A11903" s="4"/>
      <c r="B11903" s="4"/>
    </row>
    <row r="11904" spans="1:2" x14ac:dyDescent="0.4">
      <c r="A11904" s="4"/>
      <c r="B11904" s="4"/>
    </row>
    <row r="11905" spans="1:2" x14ac:dyDescent="0.4">
      <c r="A11905" s="4"/>
      <c r="B11905" s="4"/>
    </row>
    <row r="11906" spans="1:2" x14ac:dyDescent="0.4">
      <c r="A11906" s="4"/>
      <c r="B11906" s="4"/>
    </row>
    <row r="11907" spans="1:2" x14ac:dyDescent="0.4">
      <c r="A11907" s="4"/>
      <c r="B11907" s="4"/>
    </row>
    <row r="11908" spans="1:2" x14ac:dyDescent="0.4">
      <c r="A11908" s="4"/>
      <c r="B11908" s="4"/>
    </row>
    <row r="11909" spans="1:2" x14ac:dyDescent="0.4">
      <c r="A11909" s="4"/>
      <c r="B11909" s="4"/>
    </row>
    <row r="11910" spans="1:2" x14ac:dyDescent="0.4">
      <c r="A11910" s="4"/>
      <c r="B11910" s="4"/>
    </row>
    <row r="11911" spans="1:2" x14ac:dyDescent="0.4">
      <c r="A11911" s="4"/>
      <c r="B11911" s="4"/>
    </row>
    <row r="11912" spans="1:2" x14ac:dyDescent="0.4">
      <c r="A11912" s="4"/>
      <c r="B11912" s="4"/>
    </row>
    <row r="11913" spans="1:2" x14ac:dyDescent="0.4">
      <c r="A11913" s="4"/>
      <c r="B11913" s="4"/>
    </row>
    <row r="11914" spans="1:2" x14ac:dyDescent="0.4">
      <c r="A11914" s="4"/>
      <c r="B11914" s="4"/>
    </row>
    <row r="11915" spans="1:2" x14ac:dyDescent="0.4">
      <c r="A11915" s="4"/>
      <c r="B11915" s="4"/>
    </row>
    <row r="11916" spans="1:2" x14ac:dyDescent="0.4">
      <c r="A11916" s="4"/>
      <c r="B11916" s="4"/>
    </row>
    <row r="11917" spans="1:2" x14ac:dyDescent="0.4">
      <c r="A11917" s="4"/>
      <c r="B11917" s="4"/>
    </row>
    <row r="11918" spans="1:2" x14ac:dyDescent="0.4">
      <c r="A11918" s="4"/>
      <c r="B11918" s="4"/>
    </row>
    <row r="11919" spans="1:2" x14ac:dyDescent="0.4">
      <c r="A11919" s="4"/>
      <c r="B11919" s="4"/>
    </row>
    <row r="11920" spans="1:2" x14ac:dyDescent="0.4">
      <c r="A11920" s="4"/>
      <c r="B11920" s="4"/>
    </row>
    <row r="11921" spans="1:2" x14ac:dyDescent="0.4">
      <c r="A11921" s="4"/>
      <c r="B11921" s="4"/>
    </row>
    <row r="11922" spans="1:2" x14ac:dyDescent="0.4">
      <c r="A11922" s="4"/>
      <c r="B11922" s="4"/>
    </row>
    <row r="11923" spans="1:2" x14ac:dyDescent="0.4">
      <c r="A11923" s="4"/>
      <c r="B11923" s="4"/>
    </row>
    <row r="11924" spans="1:2" x14ac:dyDescent="0.4">
      <c r="A11924" s="4"/>
      <c r="B11924" s="4"/>
    </row>
    <row r="11925" spans="1:2" x14ac:dyDescent="0.4">
      <c r="A11925" s="4"/>
      <c r="B11925" s="4"/>
    </row>
    <row r="11926" spans="1:2" x14ac:dyDescent="0.4">
      <c r="A11926" s="4"/>
      <c r="B11926" s="4"/>
    </row>
    <row r="11927" spans="1:2" x14ac:dyDescent="0.4">
      <c r="A11927" s="4"/>
      <c r="B11927" s="4"/>
    </row>
    <row r="11928" spans="1:2" x14ac:dyDescent="0.4">
      <c r="A11928" s="4"/>
      <c r="B11928" s="4"/>
    </row>
    <row r="11929" spans="1:2" x14ac:dyDescent="0.4">
      <c r="A11929" s="4"/>
      <c r="B11929" s="4"/>
    </row>
    <row r="11930" spans="1:2" x14ac:dyDescent="0.4">
      <c r="A11930" s="4"/>
      <c r="B11930" s="4"/>
    </row>
    <row r="11931" spans="1:2" x14ac:dyDescent="0.4">
      <c r="A11931" s="4"/>
      <c r="B11931" s="4"/>
    </row>
    <row r="11932" spans="1:2" x14ac:dyDescent="0.4">
      <c r="A11932" s="4"/>
      <c r="B11932" s="4"/>
    </row>
    <row r="11933" spans="1:2" x14ac:dyDescent="0.4">
      <c r="A11933" s="4"/>
      <c r="B11933" s="4"/>
    </row>
    <row r="11934" spans="1:2" x14ac:dyDescent="0.4">
      <c r="A11934" s="4"/>
      <c r="B11934" s="4"/>
    </row>
    <row r="11935" spans="1:2" x14ac:dyDescent="0.4">
      <c r="A11935" s="4"/>
      <c r="B11935" s="4"/>
    </row>
    <row r="11936" spans="1:2" x14ac:dyDescent="0.4">
      <c r="A11936" s="4"/>
      <c r="B11936" s="4"/>
    </row>
    <row r="11937" spans="1:2" x14ac:dyDescent="0.4">
      <c r="A11937" s="4"/>
      <c r="B11937" s="4"/>
    </row>
    <row r="11938" spans="1:2" x14ac:dyDescent="0.4">
      <c r="A11938" s="4"/>
      <c r="B11938" s="4"/>
    </row>
    <row r="11939" spans="1:2" x14ac:dyDescent="0.4">
      <c r="A11939" s="4"/>
      <c r="B11939" s="4"/>
    </row>
    <row r="11940" spans="1:2" x14ac:dyDescent="0.4">
      <c r="A11940" s="4"/>
      <c r="B11940" s="4"/>
    </row>
    <row r="11941" spans="1:2" x14ac:dyDescent="0.4">
      <c r="A11941" s="4"/>
      <c r="B11941" s="4"/>
    </row>
    <row r="11942" spans="1:2" x14ac:dyDescent="0.4">
      <c r="A11942" s="4"/>
      <c r="B11942" s="4"/>
    </row>
    <row r="11943" spans="1:2" x14ac:dyDescent="0.4">
      <c r="A11943" s="4"/>
      <c r="B11943" s="4"/>
    </row>
    <row r="11944" spans="1:2" x14ac:dyDescent="0.4">
      <c r="A11944" s="4"/>
      <c r="B11944" s="4"/>
    </row>
    <row r="11945" spans="1:2" x14ac:dyDescent="0.4">
      <c r="A11945" s="4"/>
      <c r="B11945" s="4"/>
    </row>
    <row r="11946" spans="1:2" x14ac:dyDescent="0.4">
      <c r="A11946" s="4"/>
      <c r="B11946" s="4"/>
    </row>
    <row r="11947" spans="1:2" x14ac:dyDescent="0.4">
      <c r="A11947" s="4"/>
      <c r="B11947" s="4"/>
    </row>
    <row r="11948" spans="1:2" x14ac:dyDescent="0.4">
      <c r="A11948" s="4"/>
      <c r="B11948" s="4"/>
    </row>
    <row r="11949" spans="1:2" x14ac:dyDescent="0.4">
      <c r="A11949" s="4"/>
      <c r="B11949" s="4"/>
    </row>
    <row r="11950" spans="1:2" x14ac:dyDescent="0.4">
      <c r="A11950" s="4"/>
      <c r="B11950" s="4"/>
    </row>
    <row r="11951" spans="1:2" x14ac:dyDescent="0.4">
      <c r="A11951" s="4"/>
      <c r="B11951" s="4"/>
    </row>
    <row r="11952" spans="1:2" x14ac:dyDescent="0.4">
      <c r="A11952" s="4"/>
      <c r="B11952" s="4"/>
    </row>
    <row r="11953" spans="1:2" x14ac:dyDescent="0.4">
      <c r="A11953" s="4"/>
      <c r="B11953" s="4"/>
    </row>
    <row r="11954" spans="1:2" x14ac:dyDescent="0.4">
      <c r="A11954" s="4"/>
      <c r="B11954" s="4"/>
    </row>
    <row r="11955" spans="1:2" x14ac:dyDescent="0.4">
      <c r="A11955" s="4"/>
      <c r="B11955" s="4"/>
    </row>
    <row r="11956" spans="1:2" x14ac:dyDescent="0.4">
      <c r="A11956" s="4"/>
      <c r="B11956" s="4"/>
    </row>
    <row r="11957" spans="1:2" x14ac:dyDescent="0.4">
      <c r="A11957" s="4"/>
      <c r="B11957" s="4"/>
    </row>
    <row r="11958" spans="1:2" x14ac:dyDescent="0.4">
      <c r="A11958" s="4"/>
      <c r="B11958" s="4"/>
    </row>
    <row r="11959" spans="1:2" x14ac:dyDescent="0.4">
      <c r="A11959" s="4"/>
      <c r="B11959" s="4"/>
    </row>
    <row r="11960" spans="1:2" x14ac:dyDescent="0.4">
      <c r="A11960" s="4"/>
      <c r="B11960" s="4"/>
    </row>
    <row r="11961" spans="1:2" x14ac:dyDescent="0.4">
      <c r="A11961" s="4"/>
      <c r="B11961" s="4"/>
    </row>
    <row r="11962" spans="1:2" x14ac:dyDescent="0.4">
      <c r="A11962" s="4"/>
      <c r="B11962" s="4"/>
    </row>
    <row r="11963" spans="1:2" x14ac:dyDescent="0.4">
      <c r="A11963" s="4"/>
      <c r="B11963" s="4"/>
    </row>
    <row r="11964" spans="1:2" x14ac:dyDescent="0.4">
      <c r="A11964" s="4"/>
      <c r="B11964" s="4"/>
    </row>
    <row r="11965" spans="1:2" x14ac:dyDescent="0.4">
      <c r="A11965" s="4"/>
      <c r="B11965" s="4"/>
    </row>
    <row r="11966" spans="1:2" x14ac:dyDescent="0.4">
      <c r="A11966" s="4"/>
      <c r="B11966" s="4"/>
    </row>
    <row r="11967" spans="1:2" x14ac:dyDescent="0.4">
      <c r="A11967" s="4"/>
      <c r="B11967" s="4"/>
    </row>
    <row r="11968" spans="1:2" x14ac:dyDescent="0.4">
      <c r="A11968" s="4"/>
      <c r="B11968" s="4"/>
    </row>
    <row r="11969" spans="1:2" x14ac:dyDescent="0.4">
      <c r="A11969" s="4"/>
      <c r="B11969" s="4"/>
    </row>
    <row r="11970" spans="1:2" x14ac:dyDescent="0.4">
      <c r="A11970" s="4"/>
      <c r="B11970" s="4"/>
    </row>
    <row r="11971" spans="1:2" x14ac:dyDescent="0.4">
      <c r="A11971" s="4"/>
      <c r="B11971" s="4"/>
    </row>
    <row r="11972" spans="1:2" x14ac:dyDescent="0.4">
      <c r="A11972" s="4"/>
      <c r="B11972" s="4"/>
    </row>
    <row r="11973" spans="1:2" x14ac:dyDescent="0.4">
      <c r="A11973" s="4"/>
      <c r="B11973" s="4"/>
    </row>
    <row r="11974" spans="1:2" x14ac:dyDescent="0.4">
      <c r="A11974" s="4"/>
      <c r="B11974" s="4"/>
    </row>
    <row r="11975" spans="1:2" x14ac:dyDescent="0.4">
      <c r="A11975" s="4"/>
      <c r="B11975" s="4"/>
    </row>
    <row r="11976" spans="1:2" x14ac:dyDescent="0.4">
      <c r="A11976" s="4"/>
      <c r="B11976" s="4"/>
    </row>
    <row r="11977" spans="1:2" x14ac:dyDescent="0.4">
      <c r="A11977" s="4"/>
      <c r="B11977" s="4"/>
    </row>
    <row r="11978" spans="1:2" x14ac:dyDescent="0.4">
      <c r="A11978" s="4"/>
      <c r="B11978" s="4"/>
    </row>
    <row r="11979" spans="1:2" x14ac:dyDescent="0.4">
      <c r="A11979" s="4"/>
      <c r="B11979" s="4"/>
    </row>
    <row r="11980" spans="1:2" x14ac:dyDescent="0.4">
      <c r="A11980" s="4"/>
      <c r="B11980" s="4"/>
    </row>
    <row r="11981" spans="1:2" x14ac:dyDescent="0.4">
      <c r="A11981" s="4"/>
      <c r="B11981" s="4"/>
    </row>
    <row r="11982" spans="1:2" x14ac:dyDescent="0.4">
      <c r="A11982" s="4"/>
      <c r="B11982" s="4"/>
    </row>
    <row r="11983" spans="1:2" x14ac:dyDescent="0.4">
      <c r="A11983" s="4"/>
      <c r="B11983" s="4"/>
    </row>
    <row r="11984" spans="1:2" x14ac:dyDescent="0.4">
      <c r="A11984" s="4"/>
      <c r="B11984" s="4"/>
    </row>
    <row r="11985" spans="1:2" x14ac:dyDescent="0.4">
      <c r="A11985" s="4"/>
      <c r="B11985" s="4"/>
    </row>
    <row r="11986" spans="1:2" x14ac:dyDescent="0.4">
      <c r="A11986" s="4"/>
      <c r="B11986" s="4"/>
    </row>
    <row r="11987" spans="1:2" x14ac:dyDescent="0.4">
      <c r="A11987" s="4"/>
      <c r="B11987" s="4"/>
    </row>
    <row r="11988" spans="1:2" x14ac:dyDescent="0.4">
      <c r="A11988" s="4"/>
      <c r="B11988" s="4"/>
    </row>
    <row r="11989" spans="1:2" x14ac:dyDescent="0.4">
      <c r="A11989" s="4"/>
      <c r="B11989" s="4"/>
    </row>
    <row r="11990" spans="1:2" x14ac:dyDescent="0.4">
      <c r="A11990" s="4"/>
      <c r="B11990" s="4"/>
    </row>
    <row r="11991" spans="1:2" x14ac:dyDescent="0.4">
      <c r="A11991" s="4"/>
      <c r="B11991" s="4"/>
    </row>
    <row r="11992" spans="1:2" x14ac:dyDescent="0.4">
      <c r="A11992" s="4"/>
      <c r="B11992" s="4"/>
    </row>
    <row r="11993" spans="1:2" x14ac:dyDescent="0.4">
      <c r="A11993" s="4"/>
      <c r="B11993" s="4"/>
    </row>
    <row r="11994" spans="1:2" x14ac:dyDescent="0.4">
      <c r="A11994" s="4"/>
      <c r="B11994" s="4"/>
    </row>
    <row r="11995" spans="1:2" x14ac:dyDescent="0.4">
      <c r="A11995" s="4"/>
      <c r="B11995" s="4"/>
    </row>
    <row r="11996" spans="1:2" x14ac:dyDescent="0.4">
      <c r="A11996" s="4"/>
      <c r="B11996" s="4"/>
    </row>
    <row r="11997" spans="1:2" x14ac:dyDescent="0.4">
      <c r="A11997" s="4"/>
      <c r="B11997" s="4"/>
    </row>
    <row r="11998" spans="1:2" x14ac:dyDescent="0.4">
      <c r="A11998" s="4"/>
      <c r="B11998" s="4"/>
    </row>
    <row r="11999" spans="1:2" x14ac:dyDescent="0.4">
      <c r="A11999" s="4"/>
      <c r="B11999" s="4"/>
    </row>
    <row r="12000" spans="1:2" x14ac:dyDescent="0.4">
      <c r="A12000" s="4"/>
      <c r="B12000" s="4"/>
    </row>
    <row r="12001" spans="1:2" x14ac:dyDescent="0.4">
      <c r="A12001" s="4"/>
      <c r="B12001" s="4"/>
    </row>
    <row r="12002" spans="1:2" x14ac:dyDescent="0.4">
      <c r="A12002" s="4"/>
      <c r="B12002" s="4"/>
    </row>
    <row r="12003" spans="1:2" x14ac:dyDescent="0.4">
      <c r="A12003" s="4"/>
      <c r="B12003" s="4"/>
    </row>
    <row r="12004" spans="1:2" x14ac:dyDescent="0.4">
      <c r="A12004" s="4"/>
      <c r="B12004" s="4"/>
    </row>
    <row r="12005" spans="1:2" x14ac:dyDescent="0.4">
      <c r="A12005" s="4"/>
      <c r="B12005" s="4"/>
    </row>
    <row r="12006" spans="1:2" x14ac:dyDescent="0.4">
      <c r="A12006" s="4"/>
      <c r="B12006" s="4"/>
    </row>
    <row r="12007" spans="1:2" x14ac:dyDescent="0.4">
      <c r="A12007" s="4"/>
      <c r="B12007" s="4"/>
    </row>
    <row r="12008" spans="1:2" x14ac:dyDescent="0.4">
      <c r="A12008" s="4"/>
      <c r="B12008" s="4"/>
    </row>
    <row r="12009" spans="1:2" x14ac:dyDescent="0.4">
      <c r="A12009" s="4"/>
      <c r="B12009" s="4"/>
    </row>
    <row r="12010" spans="1:2" x14ac:dyDescent="0.4">
      <c r="A12010" s="4"/>
      <c r="B12010" s="4"/>
    </row>
    <row r="12011" spans="1:2" x14ac:dyDescent="0.4">
      <c r="A12011" s="4"/>
      <c r="B12011" s="4"/>
    </row>
    <row r="12012" spans="1:2" x14ac:dyDescent="0.4">
      <c r="A12012" s="4"/>
      <c r="B12012" s="4"/>
    </row>
    <row r="12013" spans="1:2" x14ac:dyDescent="0.4">
      <c r="A12013" s="4"/>
      <c r="B12013" s="4"/>
    </row>
    <row r="12014" spans="1:2" x14ac:dyDescent="0.4">
      <c r="A12014" s="4"/>
      <c r="B12014" s="4"/>
    </row>
    <row r="12015" spans="1:2" x14ac:dyDescent="0.4">
      <c r="A12015" s="4"/>
      <c r="B12015" s="4"/>
    </row>
    <row r="12016" spans="1:2" x14ac:dyDescent="0.4">
      <c r="A12016" s="4"/>
      <c r="B12016" s="4"/>
    </row>
    <row r="12017" spans="1:2" x14ac:dyDescent="0.4">
      <c r="A12017" s="4"/>
      <c r="B12017" s="4"/>
    </row>
    <row r="12018" spans="1:2" x14ac:dyDescent="0.4">
      <c r="A12018" s="4"/>
      <c r="B12018" s="4"/>
    </row>
    <row r="12019" spans="1:2" x14ac:dyDescent="0.4">
      <c r="A12019" s="4"/>
      <c r="B12019" s="4"/>
    </row>
    <row r="12020" spans="1:2" x14ac:dyDescent="0.4">
      <c r="A12020" s="4"/>
      <c r="B12020" s="4"/>
    </row>
    <row r="12021" spans="1:2" x14ac:dyDescent="0.4">
      <c r="A12021" s="4"/>
      <c r="B12021" s="4"/>
    </row>
    <row r="12022" spans="1:2" x14ac:dyDescent="0.4">
      <c r="A12022" s="4"/>
      <c r="B12022" s="4"/>
    </row>
    <row r="12023" spans="1:2" x14ac:dyDescent="0.4">
      <c r="A12023" s="4"/>
      <c r="B12023" s="4"/>
    </row>
    <row r="12024" spans="1:2" x14ac:dyDescent="0.4">
      <c r="A12024" s="4"/>
      <c r="B12024" s="4"/>
    </row>
    <row r="12025" spans="1:2" x14ac:dyDescent="0.4">
      <c r="A12025" s="4"/>
      <c r="B12025" s="4"/>
    </row>
    <row r="12026" spans="1:2" x14ac:dyDescent="0.4">
      <c r="A12026" s="4"/>
      <c r="B12026" s="4"/>
    </row>
    <row r="12027" spans="1:2" x14ac:dyDescent="0.4">
      <c r="A12027" s="4"/>
      <c r="B12027" s="4"/>
    </row>
    <row r="12028" spans="1:2" x14ac:dyDescent="0.4">
      <c r="A12028" s="4"/>
      <c r="B12028" s="4"/>
    </row>
    <row r="12029" spans="1:2" x14ac:dyDescent="0.4">
      <c r="A12029" s="4"/>
      <c r="B12029" s="4"/>
    </row>
    <row r="12030" spans="1:2" x14ac:dyDescent="0.4">
      <c r="A12030" s="4"/>
      <c r="B12030" s="4"/>
    </row>
    <row r="12031" spans="1:2" x14ac:dyDescent="0.4">
      <c r="A12031" s="4"/>
      <c r="B12031" s="4"/>
    </row>
    <row r="12032" spans="1:2" x14ac:dyDescent="0.4">
      <c r="A12032" s="4"/>
      <c r="B12032" s="4"/>
    </row>
    <row r="12033" spans="1:2" x14ac:dyDescent="0.4">
      <c r="A12033" s="4"/>
      <c r="B12033" s="4"/>
    </row>
    <row r="12034" spans="1:2" x14ac:dyDescent="0.4">
      <c r="A12034" s="4"/>
      <c r="B12034" s="4"/>
    </row>
    <row r="12035" spans="1:2" x14ac:dyDescent="0.4">
      <c r="A12035" s="4"/>
      <c r="B12035" s="4"/>
    </row>
    <row r="12036" spans="1:2" x14ac:dyDescent="0.4">
      <c r="A12036" s="4"/>
      <c r="B12036" s="4"/>
    </row>
    <row r="12037" spans="1:2" x14ac:dyDescent="0.4">
      <c r="A12037" s="4"/>
      <c r="B12037" s="4"/>
    </row>
    <row r="12038" spans="1:2" x14ac:dyDescent="0.4">
      <c r="A12038" s="4"/>
      <c r="B12038" s="4"/>
    </row>
    <row r="12039" spans="1:2" x14ac:dyDescent="0.4">
      <c r="A12039" s="4"/>
      <c r="B12039" s="4"/>
    </row>
    <row r="12040" spans="1:2" x14ac:dyDescent="0.4">
      <c r="A12040" s="4"/>
      <c r="B12040" s="4"/>
    </row>
    <row r="12041" spans="1:2" x14ac:dyDescent="0.4">
      <c r="A12041" s="4"/>
      <c r="B12041" s="4"/>
    </row>
    <row r="12042" spans="1:2" x14ac:dyDescent="0.4">
      <c r="A12042" s="4"/>
      <c r="B12042" s="4"/>
    </row>
    <row r="12043" spans="1:2" x14ac:dyDescent="0.4">
      <c r="A12043" s="4"/>
      <c r="B12043" s="4"/>
    </row>
    <row r="12044" spans="1:2" x14ac:dyDescent="0.4">
      <c r="A12044" s="4"/>
      <c r="B12044" s="4"/>
    </row>
    <row r="12045" spans="1:2" x14ac:dyDescent="0.4">
      <c r="A12045" s="4"/>
      <c r="B12045" s="4"/>
    </row>
    <row r="12046" spans="1:2" x14ac:dyDescent="0.4">
      <c r="A12046" s="4"/>
      <c r="B12046" s="4"/>
    </row>
    <row r="12047" spans="1:2" x14ac:dyDescent="0.4">
      <c r="A12047" s="4"/>
      <c r="B12047" s="4"/>
    </row>
    <row r="12048" spans="1:2" x14ac:dyDescent="0.4">
      <c r="A12048" s="4"/>
      <c r="B12048" s="4"/>
    </row>
    <row r="12049" spans="1:2" x14ac:dyDescent="0.4">
      <c r="A12049" s="4"/>
      <c r="B12049" s="4"/>
    </row>
    <row r="12050" spans="1:2" x14ac:dyDescent="0.4">
      <c r="A12050" s="4"/>
      <c r="B12050" s="4"/>
    </row>
    <row r="12051" spans="1:2" x14ac:dyDescent="0.4">
      <c r="A12051" s="4"/>
      <c r="B12051" s="4"/>
    </row>
    <row r="12052" spans="1:2" x14ac:dyDescent="0.4">
      <c r="A12052" s="4"/>
      <c r="B12052" s="4"/>
    </row>
    <row r="12053" spans="1:2" x14ac:dyDescent="0.4">
      <c r="A12053" s="4"/>
      <c r="B12053" s="4"/>
    </row>
    <row r="12054" spans="1:2" x14ac:dyDescent="0.4">
      <c r="A12054" s="4"/>
      <c r="B12054" s="4"/>
    </row>
    <row r="12055" spans="1:2" x14ac:dyDescent="0.4">
      <c r="A12055" s="4"/>
      <c r="B12055" s="4"/>
    </row>
    <row r="12056" spans="1:2" x14ac:dyDescent="0.4">
      <c r="A12056" s="4"/>
      <c r="B12056" s="4"/>
    </row>
    <row r="12057" spans="1:2" x14ac:dyDescent="0.4">
      <c r="A12057" s="4"/>
      <c r="B12057" s="4"/>
    </row>
    <row r="12058" spans="1:2" x14ac:dyDescent="0.4">
      <c r="A12058" s="4"/>
      <c r="B12058" s="4"/>
    </row>
    <row r="12059" spans="1:2" x14ac:dyDescent="0.4">
      <c r="A12059" s="4"/>
      <c r="B12059" s="4"/>
    </row>
    <row r="12060" spans="1:2" x14ac:dyDescent="0.4">
      <c r="A12060" s="4"/>
      <c r="B12060" s="4"/>
    </row>
    <row r="12061" spans="1:2" x14ac:dyDescent="0.4">
      <c r="A12061" s="4"/>
      <c r="B12061" s="4"/>
    </row>
    <row r="12062" spans="1:2" x14ac:dyDescent="0.4">
      <c r="A12062" s="4"/>
      <c r="B12062" s="4"/>
    </row>
    <row r="12063" spans="1:2" x14ac:dyDescent="0.4">
      <c r="A12063" s="4"/>
      <c r="B12063" s="4"/>
    </row>
    <row r="12064" spans="1:2" x14ac:dyDescent="0.4">
      <c r="A12064" s="4"/>
      <c r="B12064" s="4"/>
    </row>
    <row r="12065" spans="1:2" x14ac:dyDescent="0.4">
      <c r="A12065" s="4"/>
      <c r="B12065" s="4"/>
    </row>
    <row r="12066" spans="1:2" x14ac:dyDescent="0.4">
      <c r="A12066" s="4"/>
      <c r="B12066" s="4"/>
    </row>
    <row r="12067" spans="1:2" x14ac:dyDescent="0.4">
      <c r="A12067" s="4"/>
      <c r="B12067" s="4"/>
    </row>
    <row r="12068" spans="1:2" x14ac:dyDescent="0.4">
      <c r="A12068" s="4"/>
      <c r="B12068" s="4"/>
    </row>
    <row r="12069" spans="1:2" x14ac:dyDescent="0.4">
      <c r="A12069" s="4"/>
      <c r="B12069" s="4"/>
    </row>
    <row r="12070" spans="1:2" x14ac:dyDescent="0.4">
      <c r="A12070" s="4"/>
      <c r="B12070" s="4"/>
    </row>
    <row r="12071" spans="1:2" x14ac:dyDescent="0.4">
      <c r="A12071" s="4"/>
      <c r="B12071" s="4"/>
    </row>
    <row r="12072" spans="1:2" x14ac:dyDescent="0.4">
      <c r="A12072" s="4"/>
      <c r="B12072" s="4"/>
    </row>
    <row r="12073" spans="1:2" x14ac:dyDescent="0.4">
      <c r="A12073" s="4"/>
      <c r="B12073" s="4"/>
    </row>
    <row r="12074" spans="1:2" x14ac:dyDescent="0.4">
      <c r="A12074" s="4"/>
      <c r="B12074" s="4"/>
    </row>
    <row r="12075" spans="1:2" x14ac:dyDescent="0.4">
      <c r="A12075" s="4"/>
      <c r="B12075" s="4"/>
    </row>
    <row r="12076" spans="1:2" x14ac:dyDescent="0.4">
      <c r="A12076" s="4"/>
      <c r="B12076" s="4"/>
    </row>
    <row r="12077" spans="1:2" x14ac:dyDescent="0.4">
      <c r="A12077" s="4"/>
      <c r="B12077" s="4"/>
    </row>
    <row r="12078" spans="1:2" x14ac:dyDescent="0.4">
      <c r="A12078" s="4"/>
      <c r="B12078" s="4"/>
    </row>
    <row r="12079" spans="1:2" x14ac:dyDescent="0.4">
      <c r="A12079" s="4"/>
      <c r="B12079" s="4"/>
    </row>
    <row r="12080" spans="1:2" x14ac:dyDescent="0.4">
      <c r="A12080" s="4"/>
      <c r="B12080" s="4"/>
    </row>
    <row r="12081" spans="1:2" x14ac:dyDescent="0.4">
      <c r="A12081" s="4"/>
      <c r="B12081" s="4"/>
    </row>
    <row r="12082" spans="1:2" x14ac:dyDescent="0.4">
      <c r="A12082" s="4"/>
      <c r="B12082" s="4"/>
    </row>
    <row r="12083" spans="1:2" x14ac:dyDescent="0.4">
      <c r="A12083" s="4"/>
      <c r="B12083" s="4"/>
    </row>
    <row r="12084" spans="1:2" x14ac:dyDescent="0.4">
      <c r="A12084" s="4"/>
      <c r="B12084" s="4"/>
    </row>
    <row r="12085" spans="1:2" x14ac:dyDescent="0.4">
      <c r="A12085" s="4"/>
      <c r="B12085" s="4"/>
    </row>
    <row r="12086" spans="1:2" x14ac:dyDescent="0.4">
      <c r="A12086" s="4"/>
      <c r="B12086" s="4"/>
    </row>
    <row r="12087" spans="1:2" x14ac:dyDescent="0.4">
      <c r="A12087" s="4"/>
      <c r="B12087" s="4"/>
    </row>
    <row r="12088" spans="1:2" x14ac:dyDescent="0.4">
      <c r="A12088" s="4"/>
      <c r="B12088" s="4"/>
    </row>
    <row r="12089" spans="1:2" x14ac:dyDescent="0.4">
      <c r="A12089" s="4"/>
      <c r="B12089" s="4"/>
    </row>
    <row r="12090" spans="1:2" x14ac:dyDescent="0.4">
      <c r="A12090" s="4"/>
      <c r="B12090" s="4"/>
    </row>
    <row r="12091" spans="1:2" x14ac:dyDescent="0.4">
      <c r="A12091" s="4"/>
      <c r="B12091" s="4"/>
    </row>
    <row r="12092" spans="1:2" x14ac:dyDescent="0.4">
      <c r="A12092" s="4"/>
      <c r="B12092" s="4"/>
    </row>
    <row r="12093" spans="1:2" x14ac:dyDescent="0.4">
      <c r="A12093" s="4"/>
      <c r="B12093" s="4"/>
    </row>
    <row r="12094" spans="1:2" x14ac:dyDescent="0.4">
      <c r="A12094" s="4"/>
      <c r="B12094" s="4"/>
    </row>
    <row r="12095" spans="1:2" x14ac:dyDescent="0.4">
      <c r="A12095" s="4"/>
      <c r="B12095" s="4"/>
    </row>
    <row r="12096" spans="1:2" x14ac:dyDescent="0.4">
      <c r="A12096" s="4"/>
      <c r="B12096" s="4"/>
    </row>
    <row r="12097" spans="1:2" x14ac:dyDescent="0.4">
      <c r="A12097" s="4"/>
      <c r="B12097" s="4"/>
    </row>
    <row r="12098" spans="1:2" x14ac:dyDescent="0.4">
      <c r="A12098" s="4"/>
      <c r="B12098" s="4"/>
    </row>
    <row r="12099" spans="1:2" x14ac:dyDescent="0.4">
      <c r="A12099" s="4"/>
      <c r="B12099" s="4"/>
    </row>
    <row r="12100" spans="1:2" x14ac:dyDescent="0.4">
      <c r="A12100" s="4"/>
      <c r="B12100" s="4"/>
    </row>
    <row r="12101" spans="1:2" x14ac:dyDescent="0.4">
      <c r="A12101" s="4"/>
      <c r="B12101" s="4"/>
    </row>
    <row r="12102" spans="1:2" x14ac:dyDescent="0.4">
      <c r="A12102" s="4"/>
      <c r="B12102" s="4"/>
    </row>
    <row r="12103" spans="1:2" x14ac:dyDescent="0.4">
      <c r="A12103" s="4"/>
      <c r="B12103" s="4"/>
    </row>
    <row r="12104" spans="1:2" x14ac:dyDescent="0.4">
      <c r="A12104" s="4"/>
      <c r="B12104" s="4"/>
    </row>
    <row r="12105" spans="1:2" x14ac:dyDescent="0.4">
      <c r="A12105" s="4"/>
      <c r="B12105" s="4"/>
    </row>
    <row r="12106" spans="1:2" x14ac:dyDescent="0.4">
      <c r="A12106" s="4"/>
      <c r="B12106" s="4"/>
    </row>
    <row r="12107" spans="1:2" x14ac:dyDescent="0.4">
      <c r="A12107" s="4"/>
      <c r="B12107" s="4"/>
    </row>
    <row r="12108" spans="1:2" x14ac:dyDescent="0.4">
      <c r="A12108" s="4"/>
      <c r="B12108" s="4"/>
    </row>
    <row r="12109" spans="1:2" x14ac:dyDescent="0.4">
      <c r="A12109" s="4"/>
      <c r="B12109" s="4"/>
    </row>
    <row r="12110" spans="1:2" x14ac:dyDescent="0.4">
      <c r="A12110" s="4"/>
      <c r="B12110" s="4"/>
    </row>
    <row r="12111" spans="1:2" x14ac:dyDescent="0.4">
      <c r="A12111" s="4"/>
      <c r="B12111" s="4"/>
    </row>
    <row r="12112" spans="1:2" x14ac:dyDescent="0.4">
      <c r="A12112" s="4"/>
      <c r="B12112" s="4"/>
    </row>
    <row r="12113" spans="1:2" x14ac:dyDescent="0.4">
      <c r="A12113" s="4"/>
      <c r="B12113" s="4"/>
    </row>
    <row r="12114" spans="1:2" x14ac:dyDescent="0.4">
      <c r="A12114" s="4"/>
      <c r="B12114" s="4"/>
    </row>
    <row r="12115" spans="1:2" x14ac:dyDescent="0.4">
      <c r="A12115" s="4"/>
      <c r="B12115" s="4"/>
    </row>
    <row r="12116" spans="1:2" x14ac:dyDescent="0.4">
      <c r="A12116" s="4"/>
      <c r="B12116" s="4"/>
    </row>
    <row r="12117" spans="1:2" x14ac:dyDescent="0.4">
      <c r="A12117" s="4"/>
      <c r="B12117" s="4"/>
    </row>
    <row r="12118" spans="1:2" x14ac:dyDescent="0.4">
      <c r="A12118" s="4"/>
      <c r="B12118" s="4"/>
    </row>
    <row r="12119" spans="1:2" x14ac:dyDescent="0.4">
      <c r="A12119" s="4"/>
      <c r="B12119" s="4"/>
    </row>
    <row r="12120" spans="1:2" x14ac:dyDescent="0.4">
      <c r="A12120" s="4"/>
      <c r="B12120" s="4"/>
    </row>
    <row r="12121" spans="1:2" x14ac:dyDescent="0.4">
      <c r="A12121" s="4"/>
      <c r="B12121" s="4"/>
    </row>
    <row r="12122" spans="1:2" x14ac:dyDescent="0.4">
      <c r="A12122" s="4"/>
      <c r="B12122" s="4"/>
    </row>
    <row r="12123" spans="1:2" x14ac:dyDescent="0.4">
      <c r="A12123" s="4"/>
      <c r="B12123" s="4"/>
    </row>
    <row r="12124" spans="1:2" x14ac:dyDescent="0.4">
      <c r="A12124" s="4"/>
      <c r="B12124" s="4"/>
    </row>
    <row r="12125" spans="1:2" x14ac:dyDescent="0.4">
      <c r="A12125" s="4"/>
      <c r="B12125" s="4"/>
    </row>
    <row r="12126" spans="1:2" x14ac:dyDescent="0.4">
      <c r="A12126" s="4"/>
      <c r="B12126" s="4"/>
    </row>
    <row r="12127" spans="1:2" x14ac:dyDescent="0.4">
      <c r="A12127" s="4"/>
      <c r="B12127" s="4"/>
    </row>
    <row r="12128" spans="1:2" x14ac:dyDescent="0.4">
      <c r="A12128" s="4"/>
      <c r="B12128" s="4"/>
    </row>
    <row r="12129" spans="1:2" x14ac:dyDescent="0.4">
      <c r="A12129" s="4"/>
      <c r="B12129" s="4"/>
    </row>
    <row r="12130" spans="1:2" x14ac:dyDescent="0.4">
      <c r="A12130" s="4"/>
      <c r="B12130" s="4"/>
    </row>
    <row r="12131" spans="1:2" x14ac:dyDescent="0.4">
      <c r="A12131" s="4"/>
      <c r="B12131" s="4"/>
    </row>
    <row r="12132" spans="1:2" x14ac:dyDescent="0.4">
      <c r="A12132" s="4"/>
      <c r="B12132" s="4"/>
    </row>
    <row r="12133" spans="1:2" x14ac:dyDescent="0.4">
      <c r="A12133" s="4"/>
      <c r="B12133" s="4"/>
    </row>
    <row r="12134" spans="1:2" x14ac:dyDescent="0.4">
      <c r="A12134" s="4"/>
      <c r="B12134" s="4"/>
    </row>
    <row r="12135" spans="1:2" x14ac:dyDescent="0.4">
      <c r="A12135" s="4"/>
      <c r="B12135" s="4"/>
    </row>
    <row r="12136" spans="1:2" x14ac:dyDescent="0.4">
      <c r="A12136" s="4"/>
      <c r="B12136" s="4"/>
    </row>
    <row r="12137" spans="1:2" x14ac:dyDescent="0.4">
      <c r="A12137" s="4"/>
      <c r="B12137" s="4"/>
    </row>
    <row r="12138" spans="1:2" x14ac:dyDescent="0.4">
      <c r="A12138" s="4"/>
      <c r="B12138" s="4"/>
    </row>
    <row r="12139" spans="1:2" x14ac:dyDescent="0.4">
      <c r="A12139" s="4"/>
      <c r="B12139" s="4"/>
    </row>
    <row r="12140" spans="1:2" x14ac:dyDescent="0.4">
      <c r="A12140" s="4"/>
      <c r="B12140" s="4"/>
    </row>
    <row r="12141" spans="1:2" x14ac:dyDescent="0.4">
      <c r="A12141" s="4"/>
      <c r="B12141" s="4"/>
    </row>
    <row r="12142" spans="1:2" x14ac:dyDescent="0.4">
      <c r="A12142" s="4"/>
      <c r="B12142" s="4"/>
    </row>
    <row r="12143" spans="1:2" x14ac:dyDescent="0.4">
      <c r="A12143" s="4"/>
      <c r="B12143" s="4"/>
    </row>
    <row r="12144" spans="1:2" x14ac:dyDescent="0.4">
      <c r="A12144" s="4"/>
      <c r="B12144" s="4"/>
    </row>
    <row r="12145" spans="1:2" x14ac:dyDescent="0.4">
      <c r="A12145" s="4"/>
      <c r="B12145" s="4"/>
    </row>
    <row r="12146" spans="1:2" x14ac:dyDescent="0.4">
      <c r="A12146" s="4"/>
      <c r="B12146" s="4"/>
    </row>
    <row r="12147" spans="1:2" x14ac:dyDescent="0.4">
      <c r="A12147" s="4"/>
      <c r="B12147" s="4"/>
    </row>
    <row r="12148" spans="1:2" x14ac:dyDescent="0.4">
      <c r="A12148" s="4"/>
      <c r="B12148" s="4"/>
    </row>
    <row r="12149" spans="1:2" x14ac:dyDescent="0.4">
      <c r="A12149" s="4"/>
      <c r="B12149" s="4"/>
    </row>
    <row r="12150" spans="1:2" x14ac:dyDescent="0.4">
      <c r="A12150" s="4"/>
      <c r="B12150" s="4"/>
    </row>
    <row r="12151" spans="1:2" x14ac:dyDescent="0.4">
      <c r="A12151" s="4"/>
      <c r="B12151" s="4"/>
    </row>
    <row r="12152" spans="1:2" x14ac:dyDescent="0.4">
      <c r="A12152" s="4"/>
      <c r="B12152" s="4"/>
    </row>
    <row r="12153" spans="1:2" x14ac:dyDescent="0.4">
      <c r="A12153" s="4"/>
      <c r="B12153" s="4"/>
    </row>
    <row r="12154" spans="1:2" x14ac:dyDescent="0.4">
      <c r="A12154" s="4"/>
      <c r="B12154" s="4"/>
    </row>
    <row r="12155" spans="1:2" x14ac:dyDescent="0.4">
      <c r="A12155" s="4"/>
      <c r="B12155" s="4"/>
    </row>
    <row r="12156" spans="1:2" x14ac:dyDescent="0.4">
      <c r="A12156" s="4"/>
      <c r="B12156" s="4"/>
    </row>
    <row r="12157" spans="1:2" x14ac:dyDescent="0.4">
      <c r="A12157" s="4"/>
      <c r="B12157" s="4"/>
    </row>
    <row r="12158" spans="1:2" x14ac:dyDescent="0.4">
      <c r="A12158" s="4"/>
      <c r="B12158" s="4"/>
    </row>
    <row r="12159" spans="1:2" x14ac:dyDescent="0.4">
      <c r="A12159" s="4"/>
      <c r="B12159" s="4"/>
    </row>
    <row r="12160" spans="1:2" x14ac:dyDescent="0.4">
      <c r="A12160" s="4"/>
      <c r="B12160" s="4"/>
    </row>
    <row r="12161" spans="1:2" x14ac:dyDescent="0.4">
      <c r="A12161" s="4"/>
      <c r="B12161" s="4"/>
    </row>
    <row r="12162" spans="1:2" x14ac:dyDescent="0.4">
      <c r="A12162" s="4"/>
      <c r="B12162" s="4"/>
    </row>
    <row r="12163" spans="1:2" x14ac:dyDescent="0.4">
      <c r="A12163" s="4"/>
      <c r="B12163" s="4"/>
    </row>
    <row r="12164" spans="1:2" x14ac:dyDescent="0.4">
      <c r="A12164" s="4"/>
      <c r="B12164" s="4"/>
    </row>
    <row r="12165" spans="1:2" x14ac:dyDescent="0.4">
      <c r="A12165" s="4"/>
      <c r="B12165" s="4"/>
    </row>
    <row r="12166" spans="1:2" x14ac:dyDescent="0.4">
      <c r="A12166" s="4"/>
      <c r="B12166" s="4"/>
    </row>
    <row r="12167" spans="1:2" x14ac:dyDescent="0.4">
      <c r="A12167" s="4"/>
      <c r="B12167" s="4"/>
    </row>
    <row r="12168" spans="1:2" x14ac:dyDescent="0.4">
      <c r="A12168" s="4"/>
      <c r="B12168" s="4"/>
    </row>
    <row r="12169" spans="1:2" x14ac:dyDescent="0.4">
      <c r="A12169" s="4"/>
      <c r="B12169" s="4"/>
    </row>
    <row r="12170" spans="1:2" x14ac:dyDescent="0.4">
      <c r="A12170" s="4"/>
      <c r="B12170" s="4"/>
    </row>
    <row r="12171" spans="1:2" x14ac:dyDescent="0.4">
      <c r="A12171" s="4"/>
      <c r="B12171" s="4"/>
    </row>
    <row r="12172" spans="1:2" x14ac:dyDescent="0.4">
      <c r="A12172" s="4"/>
      <c r="B12172" s="4"/>
    </row>
    <row r="12173" spans="1:2" x14ac:dyDescent="0.4">
      <c r="A12173" s="4"/>
      <c r="B12173" s="4"/>
    </row>
    <row r="12174" spans="1:2" x14ac:dyDescent="0.4">
      <c r="A12174" s="4"/>
      <c r="B12174" s="4"/>
    </row>
    <row r="12175" spans="1:2" x14ac:dyDescent="0.4">
      <c r="A12175" s="4"/>
      <c r="B12175" s="4"/>
    </row>
    <row r="12176" spans="1:2" x14ac:dyDescent="0.4">
      <c r="A12176" s="4"/>
      <c r="B12176" s="4"/>
    </row>
    <row r="12177" spans="1:2" x14ac:dyDescent="0.4">
      <c r="A12177" s="4"/>
      <c r="B12177" s="4"/>
    </row>
    <row r="12178" spans="1:2" x14ac:dyDescent="0.4">
      <c r="A12178" s="4"/>
      <c r="B12178" s="4"/>
    </row>
    <row r="12179" spans="1:2" x14ac:dyDescent="0.4">
      <c r="A12179" s="4"/>
      <c r="B12179" s="4"/>
    </row>
    <row r="12180" spans="1:2" x14ac:dyDescent="0.4">
      <c r="A12180" s="4"/>
      <c r="B12180" s="4"/>
    </row>
    <row r="12181" spans="1:2" x14ac:dyDescent="0.4">
      <c r="A12181" s="4"/>
      <c r="B12181" s="4"/>
    </row>
    <row r="12182" spans="1:2" x14ac:dyDescent="0.4">
      <c r="A12182" s="4"/>
      <c r="B12182" s="4"/>
    </row>
    <row r="12183" spans="1:2" x14ac:dyDescent="0.4">
      <c r="A12183" s="4"/>
      <c r="B12183" s="4"/>
    </row>
    <row r="12184" spans="1:2" x14ac:dyDescent="0.4">
      <c r="A12184" s="4"/>
      <c r="B12184" s="4"/>
    </row>
    <row r="12185" spans="1:2" x14ac:dyDescent="0.4">
      <c r="A12185" s="4"/>
      <c r="B12185" s="4"/>
    </row>
    <row r="12186" spans="1:2" x14ac:dyDescent="0.4">
      <c r="A12186" s="4"/>
      <c r="B12186" s="4"/>
    </row>
    <row r="12187" spans="1:2" x14ac:dyDescent="0.4">
      <c r="A12187" s="4"/>
      <c r="B12187" s="4"/>
    </row>
    <row r="12188" spans="1:2" x14ac:dyDescent="0.4">
      <c r="A12188" s="4"/>
      <c r="B12188" s="4"/>
    </row>
    <row r="12189" spans="1:2" x14ac:dyDescent="0.4">
      <c r="A12189" s="4"/>
      <c r="B12189" s="4"/>
    </row>
    <row r="12190" spans="1:2" x14ac:dyDescent="0.4">
      <c r="A12190" s="4"/>
      <c r="B12190" s="4"/>
    </row>
    <row r="12191" spans="1:2" x14ac:dyDescent="0.4">
      <c r="A12191" s="4"/>
      <c r="B12191" s="4"/>
    </row>
    <row r="12192" spans="1:2" x14ac:dyDescent="0.4">
      <c r="A12192" s="4"/>
      <c r="B12192" s="4"/>
    </row>
    <row r="12193" spans="1:2" x14ac:dyDescent="0.4">
      <c r="A12193" s="4"/>
      <c r="B12193" s="4"/>
    </row>
    <row r="12194" spans="1:2" x14ac:dyDescent="0.4">
      <c r="A12194" s="4"/>
      <c r="B12194" s="4"/>
    </row>
    <row r="12195" spans="1:2" x14ac:dyDescent="0.4">
      <c r="A12195" s="4"/>
      <c r="B12195" s="4"/>
    </row>
    <row r="12196" spans="1:2" x14ac:dyDescent="0.4">
      <c r="A12196" s="4"/>
      <c r="B12196" s="4"/>
    </row>
    <row r="12197" spans="1:2" x14ac:dyDescent="0.4">
      <c r="A12197" s="4"/>
      <c r="B12197" s="4"/>
    </row>
    <row r="12198" spans="1:2" x14ac:dyDescent="0.4">
      <c r="A12198" s="4"/>
      <c r="B12198" s="4"/>
    </row>
    <row r="12199" spans="1:2" x14ac:dyDescent="0.4">
      <c r="A12199" s="4"/>
      <c r="B12199" s="4"/>
    </row>
    <row r="12200" spans="1:2" x14ac:dyDescent="0.4">
      <c r="A12200" s="4"/>
      <c r="B12200" s="4"/>
    </row>
    <row r="12201" spans="1:2" x14ac:dyDescent="0.4">
      <c r="A12201" s="4"/>
      <c r="B12201" s="4"/>
    </row>
    <row r="12202" spans="1:2" x14ac:dyDescent="0.4">
      <c r="A12202" s="4"/>
      <c r="B12202" s="4"/>
    </row>
    <row r="12203" spans="1:2" x14ac:dyDescent="0.4">
      <c r="A12203" s="4"/>
      <c r="B12203" s="4"/>
    </row>
    <row r="12204" spans="1:2" x14ac:dyDescent="0.4">
      <c r="A12204" s="4"/>
      <c r="B12204" s="4"/>
    </row>
    <row r="12205" spans="1:2" x14ac:dyDescent="0.4">
      <c r="A12205" s="4"/>
      <c r="B12205" s="4"/>
    </row>
    <row r="12206" spans="1:2" x14ac:dyDescent="0.4">
      <c r="A12206" s="4"/>
      <c r="B12206" s="4"/>
    </row>
    <row r="12207" spans="1:2" x14ac:dyDescent="0.4">
      <c r="A12207" s="4"/>
      <c r="B12207" s="4"/>
    </row>
    <row r="12208" spans="1:2" x14ac:dyDescent="0.4">
      <c r="A12208" s="4"/>
      <c r="B12208" s="4"/>
    </row>
    <row r="12209" spans="1:2" x14ac:dyDescent="0.4">
      <c r="A12209" s="4"/>
      <c r="B12209" s="4"/>
    </row>
    <row r="12210" spans="1:2" x14ac:dyDescent="0.4">
      <c r="A12210" s="4"/>
      <c r="B12210" s="4"/>
    </row>
    <row r="12211" spans="1:2" x14ac:dyDescent="0.4">
      <c r="A12211" s="4"/>
      <c r="B12211" s="4"/>
    </row>
    <row r="12212" spans="1:2" x14ac:dyDescent="0.4">
      <c r="A12212" s="4"/>
      <c r="B12212" s="4"/>
    </row>
    <row r="12213" spans="1:2" x14ac:dyDescent="0.4">
      <c r="A12213" s="4"/>
      <c r="B12213" s="4"/>
    </row>
    <row r="12214" spans="1:2" x14ac:dyDescent="0.4">
      <c r="A12214" s="4"/>
      <c r="B12214" s="4"/>
    </row>
    <row r="12215" spans="1:2" x14ac:dyDescent="0.4">
      <c r="A12215" s="4"/>
      <c r="B12215" s="4"/>
    </row>
    <row r="12216" spans="1:2" x14ac:dyDescent="0.4">
      <c r="A12216" s="4"/>
      <c r="B12216" s="4"/>
    </row>
    <row r="12217" spans="1:2" x14ac:dyDescent="0.4">
      <c r="A12217" s="4"/>
      <c r="B12217" s="4"/>
    </row>
    <row r="12218" spans="1:2" x14ac:dyDescent="0.4">
      <c r="A12218" s="4"/>
      <c r="B12218" s="4"/>
    </row>
    <row r="12219" spans="1:2" x14ac:dyDescent="0.4">
      <c r="A12219" s="4"/>
      <c r="B12219" s="4"/>
    </row>
    <row r="12220" spans="1:2" x14ac:dyDescent="0.4">
      <c r="A12220" s="4"/>
      <c r="B12220" s="4"/>
    </row>
    <row r="12221" spans="1:2" x14ac:dyDescent="0.4">
      <c r="A12221" s="4"/>
      <c r="B12221" s="4"/>
    </row>
    <row r="12222" spans="1:2" x14ac:dyDescent="0.4">
      <c r="A12222" s="4"/>
      <c r="B12222" s="4"/>
    </row>
    <row r="12223" spans="1:2" x14ac:dyDescent="0.4">
      <c r="A12223" s="4"/>
      <c r="B12223" s="4"/>
    </row>
    <row r="12224" spans="1:2" x14ac:dyDescent="0.4">
      <c r="A12224" s="4"/>
      <c r="B12224" s="4"/>
    </row>
    <row r="12225" spans="1:2" x14ac:dyDescent="0.4">
      <c r="A12225" s="4"/>
      <c r="B12225" s="4"/>
    </row>
    <row r="12226" spans="1:2" x14ac:dyDescent="0.4">
      <c r="A12226" s="4"/>
      <c r="B12226" s="4"/>
    </row>
    <row r="12227" spans="1:2" x14ac:dyDescent="0.4">
      <c r="A12227" s="4"/>
      <c r="B12227" s="4"/>
    </row>
    <row r="12228" spans="1:2" x14ac:dyDescent="0.4">
      <c r="A12228" s="4"/>
      <c r="B12228" s="4"/>
    </row>
    <row r="12229" spans="1:2" x14ac:dyDescent="0.4">
      <c r="A12229" s="4"/>
      <c r="B12229" s="4"/>
    </row>
    <row r="12230" spans="1:2" x14ac:dyDescent="0.4">
      <c r="A12230" s="4"/>
      <c r="B12230" s="4"/>
    </row>
    <row r="12231" spans="1:2" x14ac:dyDescent="0.4">
      <c r="A12231" s="4"/>
      <c r="B12231" s="4"/>
    </row>
    <row r="12232" spans="1:2" x14ac:dyDescent="0.4">
      <c r="A12232" s="4"/>
      <c r="B12232" s="4"/>
    </row>
    <row r="12233" spans="1:2" x14ac:dyDescent="0.4">
      <c r="A12233" s="4"/>
      <c r="B12233" s="4"/>
    </row>
    <row r="12234" spans="1:2" x14ac:dyDescent="0.4">
      <c r="A12234" s="4"/>
      <c r="B12234" s="4"/>
    </row>
    <row r="12235" spans="1:2" x14ac:dyDescent="0.4">
      <c r="A12235" s="4"/>
      <c r="B12235" s="4"/>
    </row>
    <row r="12236" spans="1:2" x14ac:dyDescent="0.4">
      <c r="A12236" s="4"/>
      <c r="B12236" s="4"/>
    </row>
    <row r="12237" spans="1:2" x14ac:dyDescent="0.4">
      <c r="A12237" s="4"/>
      <c r="B12237" s="4"/>
    </row>
    <row r="12238" spans="1:2" x14ac:dyDescent="0.4">
      <c r="A12238" s="4"/>
      <c r="B12238" s="4"/>
    </row>
    <row r="12239" spans="1:2" x14ac:dyDescent="0.4">
      <c r="A12239" s="4"/>
      <c r="B12239" s="4"/>
    </row>
    <row r="12240" spans="1:2" x14ac:dyDescent="0.4">
      <c r="A12240" s="4"/>
      <c r="B12240" s="4"/>
    </row>
    <row r="12241" spans="1:2" x14ac:dyDescent="0.4">
      <c r="A12241" s="4"/>
      <c r="B12241" s="4"/>
    </row>
    <row r="12242" spans="1:2" x14ac:dyDescent="0.4">
      <c r="A12242" s="4"/>
      <c r="B12242" s="4"/>
    </row>
    <row r="12243" spans="1:2" x14ac:dyDescent="0.4">
      <c r="A12243" s="4"/>
      <c r="B12243" s="4"/>
    </row>
    <row r="12244" spans="1:2" x14ac:dyDescent="0.4">
      <c r="A12244" s="4"/>
      <c r="B12244" s="4"/>
    </row>
    <row r="12245" spans="1:2" x14ac:dyDescent="0.4">
      <c r="A12245" s="4"/>
      <c r="B12245" s="4"/>
    </row>
    <row r="12246" spans="1:2" x14ac:dyDescent="0.4">
      <c r="A12246" s="4"/>
      <c r="B12246" s="4"/>
    </row>
    <row r="12247" spans="1:2" x14ac:dyDescent="0.4">
      <c r="A12247" s="4"/>
      <c r="B12247" s="4"/>
    </row>
    <row r="12248" spans="1:2" x14ac:dyDescent="0.4">
      <c r="A12248" s="4"/>
      <c r="B12248" s="4"/>
    </row>
    <row r="12249" spans="1:2" x14ac:dyDescent="0.4">
      <c r="A12249" s="4"/>
      <c r="B12249" s="4"/>
    </row>
    <row r="12250" spans="1:2" x14ac:dyDescent="0.4">
      <c r="A12250" s="4"/>
      <c r="B12250" s="4"/>
    </row>
    <row r="12251" spans="1:2" x14ac:dyDescent="0.4">
      <c r="A12251" s="4"/>
      <c r="B12251" s="4"/>
    </row>
    <row r="12252" spans="1:2" x14ac:dyDescent="0.4">
      <c r="A12252" s="4"/>
      <c r="B12252" s="4"/>
    </row>
    <row r="12253" spans="1:2" x14ac:dyDescent="0.4">
      <c r="A12253" s="4"/>
      <c r="B12253" s="4"/>
    </row>
    <row r="12254" spans="1:2" x14ac:dyDescent="0.4">
      <c r="A12254" s="4"/>
      <c r="B12254" s="4"/>
    </row>
    <row r="12255" spans="1:2" x14ac:dyDescent="0.4">
      <c r="A12255" s="4"/>
      <c r="B12255" s="4"/>
    </row>
    <row r="12256" spans="1:2" x14ac:dyDescent="0.4">
      <c r="A12256" s="4"/>
      <c r="B12256" s="4"/>
    </row>
    <row r="12257" spans="1:2" x14ac:dyDescent="0.4">
      <c r="A12257" s="4"/>
      <c r="B12257" s="4"/>
    </row>
    <row r="12258" spans="1:2" x14ac:dyDescent="0.4">
      <c r="A12258" s="4"/>
      <c r="B12258" s="4"/>
    </row>
    <row r="12259" spans="1:2" x14ac:dyDescent="0.4">
      <c r="A12259" s="4"/>
      <c r="B12259" s="4"/>
    </row>
    <row r="12260" spans="1:2" x14ac:dyDescent="0.4">
      <c r="A12260" s="4"/>
      <c r="B12260" s="4"/>
    </row>
    <row r="12261" spans="1:2" x14ac:dyDescent="0.4">
      <c r="A12261" s="4"/>
      <c r="B12261" s="4"/>
    </row>
    <row r="12262" spans="1:2" x14ac:dyDescent="0.4">
      <c r="A12262" s="4"/>
      <c r="B12262" s="4"/>
    </row>
    <row r="12263" spans="1:2" x14ac:dyDescent="0.4">
      <c r="A12263" s="4"/>
      <c r="B12263" s="4"/>
    </row>
    <row r="12264" spans="1:2" x14ac:dyDescent="0.4">
      <c r="A12264" s="4"/>
      <c r="B12264" s="4"/>
    </row>
    <row r="12265" spans="1:2" x14ac:dyDescent="0.4">
      <c r="A12265" s="4"/>
      <c r="B12265" s="4"/>
    </row>
    <row r="12266" spans="1:2" x14ac:dyDescent="0.4">
      <c r="A12266" s="4"/>
      <c r="B12266" s="4"/>
    </row>
    <row r="12267" spans="1:2" x14ac:dyDescent="0.4">
      <c r="A12267" s="4"/>
      <c r="B12267" s="4"/>
    </row>
    <row r="12268" spans="1:2" x14ac:dyDescent="0.4">
      <c r="A12268" s="4"/>
      <c r="B12268" s="4"/>
    </row>
    <row r="12269" spans="1:2" x14ac:dyDescent="0.4">
      <c r="A12269" s="4"/>
      <c r="B12269" s="4"/>
    </row>
    <row r="12270" spans="1:2" x14ac:dyDescent="0.4">
      <c r="A12270" s="4"/>
      <c r="B12270" s="4"/>
    </row>
    <row r="12271" spans="1:2" x14ac:dyDescent="0.4">
      <c r="A12271" s="4"/>
      <c r="B12271" s="4"/>
    </row>
    <row r="12272" spans="1:2" x14ac:dyDescent="0.4">
      <c r="A12272" s="4"/>
      <c r="B12272" s="4"/>
    </row>
    <row r="12273" spans="1:2" x14ac:dyDescent="0.4">
      <c r="A12273" s="4"/>
      <c r="B12273" s="4"/>
    </row>
    <row r="12274" spans="1:2" x14ac:dyDescent="0.4">
      <c r="A12274" s="4"/>
      <c r="B12274" s="4"/>
    </row>
    <row r="12275" spans="1:2" x14ac:dyDescent="0.4">
      <c r="A12275" s="4"/>
      <c r="B12275" s="4"/>
    </row>
    <row r="12276" spans="1:2" x14ac:dyDescent="0.4">
      <c r="A12276" s="4"/>
      <c r="B12276" s="4"/>
    </row>
    <row r="12277" spans="1:2" x14ac:dyDescent="0.4">
      <c r="A12277" s="4"/>
      <c r="B12277" s="4"/>
    </row>
    <row r="12278" spans="1:2" x14ac:dyDescent="0.4">
      <c r="A12278" s="4"/>
      <c r="B12278" s="4"/>
    </row>
    <row r="12279" spans="1:2" x14ac:dyDescent="0.4">
      <c r="A12279" s="4"/>
      <c r="B12279" s="4"/>
    </row>
    <row r="12280" spans="1:2" x14ac:dyDescent="0.4">
      <c r="A12280" s="4"/>
      <c r="B12280" s="4"/>
    </row>
    <row r="12281" spans="1:2" x14ac:dyDescent="0.4">
      <c r="A12281" s="4"/>
      <c r="B12281" s="4"/>
    </row>
    <row r="12282" spans="1:2" x14ac:dyDescent="0.4">
      <c r="A12282" s="4"/>
      <c r="B12282" s="4"/>
    </row>
    <row r="12283" spans="1:2" x14ac:dyDescent="0.4">
      <c r="A12283" s="4"/>
      <c r="B12283" s="4"/>
    </row>
    <row r="12284" spans="1:2" x14ac:dyDescent="0.4">
      <c r="A12284" s="4"/>
      <c r="B12284" s="4"/>
    </row>
    <row r="12285" spans="1:2" x14ac:dyDescent="0.4">
      <c r="A12285" s="4"/>
      <c r="B12285" s="4"/>
    </row>
    <row r="12286" spans="1:2" x14ac:dyDescent="0.4">
      <c r="A12286" s="4"/>
      <c r="B12286" s="4"/>
    </row>
    <row r="12287" spans="1:2" x14ac:dyDescent="0.4">
      <c r="A12287" s="4"/>
      <c r="B12287" s="4"/>
    </row>
    <row r="12288" spans="1:2" x14ac:dyDescent="0.4">
      <c r="A12288" s="4"/>
      <c r="B12288" s="4"/>
    </row>
    <row r="12289" spans="1:2" x14ac:dyDescent="0.4">
      <c r="A12289" s="4"/>
      <c r="B12289" s="4"/>
    </row>
    <row r="12290" spans="1:2" x14ac:dyDescent="0.4">
      <c r="A12290" s="4"/>
      <c r="B12290" s="4"/>
    </row>
    <row r="12291" spans="1:2" x14ac:dyDescent="0.4">
      <c r="A12291" s="4"/>
      <c r="B12291" s="4"/>
    </row>
    <row r="12292" spans="1:2" x14ac:dyDescent="0.4">
      <c r="A12292" s="4"/>
      <c r="B12292" s="4"/>
    </row>
    <row r="12293" spans="1:2" x14ac:dyDescent="0.4">
      <c r="A12293" s="4"/>
      <c r="B12293" s="4"/>
    </row>
    <row r="12294" spans="1:2" x14ac:dyDescent="0.4">
      <c r="A12294" s="4"/>
      <c r="B12294" s="4"/>
    </row>
    <row r="12295" spans="1:2" x14ac:dyDescent="0.4">
      <c r="A12295" s="4"/>
      <c r="B12295" s="4"/>
    </row>
    <row r="12296" spans="1:2" x14ac:dyDescent="0.4">
      <c r="A12296" s="4"/>
      <c r="B12296" s="4"/>
    </row>
    <row r="12297" spans="1:2" x14ac:dyDescent="0.4">
      <c r="A12297" s="4"/>
      <c r="B12297" s="4"/>
    </row>
    <row r="12298" spans="1:2" x14ac:dyDescent="0.4">
      <c r="A12298" s="4"/>
      <c r="B12298" s="4"/>
    </row>
    <row r="12299" spans="1:2" x14ac:dyDescent="0.4">
      <c r="A12299" s="4"/>
      <c r="B12299" s="4"/>
    </row>
    <row r="12300" spans="1:2" x14ac:dyDescent="0.4">
      <c r="A12300" s="4"/>
      <c r="B12300" s="4"/>
    </row>
    <row r="12301" spans="1:2" x14ac:dyDescent="0.4">
      <c r="A12301" s="4"/>
      <c r="B12301" s="4"/>
    </row>
    <row r="12302" spans="1:2" x14ac:dyDescent="0.4">
      <c r="A12302" s="4"/>
      <c r="B12302" s="4"/>
    </row>
    <row r="12303" spans="1:2" x14ac:dyDescent="0.4">
      <c r="A12303" s="4"/>
      <c r="B12303" s="4"/>
    </row>
    <row r="12304" spans="1:2" x14ac:dyDescent="0.4">
      <c r="A12304" s="4"/>
      <c r="B12304" s="4"/>
    </row>
    <row r="12305" spans="1:2" x14ac:dyDescent="0.4">
      <c r="A12305" s="4"/>
      <c r="B12305" s="4"/>
    </row>
    <row r="12306" spans="1:2" x14ac:dyDescent="0.4">
      <c r="A12306" s="4"/>
      <c r="B12306" s="4"/>
    </row>
    <row r="12307" spans="1:2" x14ac:dyDescent="0.4">
      <c r="A12307" s="4"/>
      <c r="B12307" s="4"/>
    </row>
    <row r="12308" spans="1:2" x14ac:dyDescent="0.4">
      <c r="A12308" s="4"/>
      <c r="B12308" s="4"/>
    </row>
    <row r="12309" spans="1:2" x14ac:dyDescent="0.4">
      <c r="A12309" s="4"/>
      <c r="B12309" s="4"/>
    </row>
    <row r="12310" spans="1:2" x14ac:dyDescent="0.4">
      <c r="A12310" s="4"/>
      <c r="B12310" s="4"/>
    </row>
    <row r="12311" spans="1:2" x14ac:dyDescent="0.4">
      <c r="A12311" s="4"/>
      <c r="B12311" s="4"/>
    </row>
    <row r="12312" spans="1:2" x14ac:dyDescent="0.4">
      <c r="A12312" s="4"/>
      <c r="B12312" s="4"/>
    </row>
    <row r="12313" spans="1:2" x14ac:dyDescent="0.4">
      <c r="A12313" s="4"/>
      <c r="B12313" s="4"/>
    </row>
    <row r="12314" spans="1:2" x14ac:dyDescent="0.4">
      <c r="A12314" s="4"/>
      <c r="B12314" s="4"/>
    </row>
    <row r="12315" spans="1:2" x14ac:dyDescent="0.4">
      <c r="A12315" s="4"/>
      <c r="B12315" s="4"/>
    </row>
    <row r="12316" spans="1:2" x14ac:dyDescent="0.4">
      <c r="A12316" s="4"/>
      <c r="B12316" s="4"/>
    </row>
    <row r="12317" spans="1:2" x14ac:dyDescent="0.4">
      <c r="A12317" s="4"/>
      <c r="B12317" s="4"/>
    </row>
    <row r="12318" spans="1:2" x14ac:dyDescent="0.4">
      <c r="A12318" s="4"/>
      <c r="B12318" s="4"/>
    </row>
    <row r="12319" spans="1:2" x14ac:dyDescent="0.4">
      <c r="A12319" s="4"/>
      <c r="B12319" s="4"/>
    </row>
    <row r="12320" spans="1:2" x14ac:dyDescent="0.4">
      <c r="A12320" s="4"/>
      <c r="B12320" s="4"/>
    </row>
    <row r="12321" spans="1:2" x14ac:dyDescent="0.4">
      <c r="A12321" s="4"/>
      <c r="B12321" s="4"/>
    </row>
    <row r="12322" spans="1:2" x14ac:dyDescent="0.4">
      <c r="A12322" s="4"/>
      <c r="B12322" s="4"/>
    </row>
    <row r="12323" spans="1:2" x14ac:dyDescent="0.4">
      <c r="A12323" s="4"/>
      <c r="B12323" s="4"/>
    </row>
    <row r="12324" spans="1:2" x14ac:dyDescent="0.4">
      <c r="A12324" s="4"/>
      <c r="B12324" s="4"/>
    </row>
    <row r="12325" spans="1:2" x14ac:dyDescent="0.4">
      <c r="A12325" s="4"/>
      <c r="B12325" s="4"/>
    </row>
    <row r="12326" spans="1:2" x14ac:dyDescent="0.4">
      <c r="A12326" s="4"/>
      <c r="B12326" s="4"/>
    </row>
    <row r="12327" spans="1:2" x14ac:dyDescent="0.4">
      <c r="A12327" s="4"/>
      <c r="B12327" s="4"/>
    </row>
    <row r="12328" spans="1:2" x14ac:dyDescent="0.4">
      <c r="A12328" s="4"/>
      <c r="B12328" s="4"/>
    </row>
    <row r="12329" spans="1:2" x14ac:dyDescent="0.4">
      <c r="A12329" s="4"/>
      <c r="B12329" s="4"/>
    </row>
    <row r="12330" spans="1:2" x14ac:dyDescent="0.4">
      <c r="A12330" s="4"/>
      <c r="B12330" s="4"/>
    </row>
    <row r="12331" spans="1:2" x14ac:dyDescent="0.4">
      <c r="A12331" s="4"/>
      <c r="B12331" s="4"/>
    </row>
    <row r="12332" spans="1:2" x14ac:dyDescent="0.4">
      <c r="A12332" s="4"/>
      <c r="B12332" s="4"/>
    </row>
    <row r="12333" spans="1:2" x14ac:dyDescent="0.4">
      <c r="A12333" s="4"/>
      <c r="B12333" s="4"/>
    </row>
    <row r="12334" spans="1:2" x14ac:dyDescent="0.4">
      <c r="A12334" s="4"/>
      <c r="B12334" s="4"/>
    </row>
    <row r="12335" spans="1:2" x14ac:dyDescent="0.4">
      <c r="A12335" s="4"/>
      <c r="B12335" s="4"/>
    </row>
    <row r="12336" spans="1:2" x14ac:dyDescent="0.4">
      <c r="A12336" s="4"/>
      <c r="B12336" s="4"/>
    </row>
    <row r="12337" spans="1:2" x14ac:dyDescent="0.4">
      <c r="A12337" s="4"/>
      <c r="B12337" s="4"/>
    </row>
    <row r="12338" spans="1:2" x14ac:dyDescent="0.4">
      <c r="A12338" s="4"/>
      <c r="B12338" s="4"/>
    </row>
    <row r="12339" spans="1:2" x14ac:dyDescent="0.4">
      <c r="A12339" s="4"/>
      <c r="B12339" s="4"/>
    </row>
    <row r="12340" spans="1:2" x14ac:dyDescent="0.4">
      <c r="A12340" s="4"/>
      <c r="B12340" s="4"/>
    </row>
    <row r="12341" spans="1:2" x14ac:dyDescent="0.4">
      <c r="A12341" s="4"/>
      <c r="B12341" s="4"/>
    </row>
    <row r="12342" spans="1:2" x14ac:dyDescent="0.4">
      <c r="A12342" s="4"/>
      <c r="B12342" s="4"/>
    </row>
    <row r="12343" spans="1:2" x14ac:dyDescent="0.4">
      <c r="A12343" s="4"/>
      <c r="B12343" s="4"/>
    </row>
    <row r="12344" spans="1:2" x14ac:dyDescent="0.4">
      <c r="A12344" s="4"/>
      <c r="B12344" s="4"/>
    </row>
    <row r="12345" spans="1:2" x14ac:dyDescent="0.4">
      <c r="A12345" s="4"/>
      <c r="B12345" s="4"/>
    </row>
    <row r="12346" spans="1:2" x14ac:dyDescent="0.4">
      <c r="A12346" s="4"/>
      <c r="B12346" s="4"/>
    </row>
    <row r="12347" spans="1:2" x14ac:dyDescent="0.4">
      <c r="A12347" s="4"/>
      <c r="B12347" s="4"/>
    </row>
    <row r="12348" spans="1:2" x14ac:dyDescent="0.4">
      <c r="A12348" s="4"/>
      <c r="B12348" s="4"/>
    </row>
    <row r="12349" spans="1:2" x14ac:dyDescent="0.4">
      <c r="A12349" s="4"/>
      <c r="B12349" s="4"/>
    </row>
    <row r="12350" spans="1:2" x14ac:dyDescent="0.4">
      <c r="A12350" s="4"/>
      <c r="B12350" s="4"/>
    </row>
    <row r="12351" spans="1:2" x14ac:dyDescent="0.4">
      <c r="A12351" s="4"/>
      <c r="B12351" s="4"/>
    </row>
    <row r="12352" spans="1:2" x14ac:dyDescent="0.4">
      <c r="A12352" s="4"/>
      <c r="B12352" s="4"/>
    </row>
    <row r="12353" spans="1:2" x14ac:dyDescent="0.4">
      <c r="A12353" s="4"/>
      <c r="B12353" s="4"/>
    </row>
    <row r="12354" spans="1:2" x14ac:dyDescent="0.4">
      <c r="A12354" s="4"/>
      <c r="B12354" s="4"/>
    </row>
    <row r="12355" spans="1:2" x14ac:dyDescent="0.4">
      <c r="A12355" s="4"/>
      <c r="B12355" s="4"/>
    </row>
    <row r="12356" spans="1:2" x14ac:dyDescent="0.4">
      <c r="A12356" s="4"/>
      <c r="B12356" s="4"/>
    </row>
    <row r="12357" spans="1:2" x14ac:dyDescent="0.4">
      <c r="A12357" s="4"/>
      <c r="B12357" s="4"/>
    </row>
    <row r="12358" spans="1:2" x14ac:dyDescent="0.4">
      <c r="A12358" s="4"/>
      <c r="B12358" s="4"/>
    </row>
    <row r="12359" spans="1:2" x14ac:dyDescent="0.4">
      <c r="A12359" s="4"/>
      <c r="B12359" s="4"/>
    </row>
    <row r="12360" spans="1:2" x14ac:dyDescent="0.4">
      <c r="A12360" s="4"/>
      <c r="B12360" s="4"/>
    </row>
    <row r="12361" spans="1:2" x14ac:dyDescent="0.4">
      <c r="A12361" s="4"/>
      <c r="B12361" s="4"/>
    </row>
    <row r="12362" spans="1:2" x14ac:dyDescent="0.4">
      <c r="A12362" s="4"/>
      <c r="B12362" s="4"/>
    </row>
    <row r="12363" spans="1:2" x14ac:dyDescent="0.4">
      <c r="A12363" s="4"/>
      <c r="B12363" s="4"/>
    </row>
    <row r="12364" spans="1:2" x14ac:dyDescent="0.4">
      <c r="A12364" s="4"/>
      <c r="B12364" s="4"/>
    </row>
    <row r="12365" spans="1:2" x14ac:dyDescent="0.4">
      <c r="A12365" s="4"/>
      <c r="B12365" s="4"/>
    </row>
    <row r="12366" spans="1:2" x14ac:dyDescent="0.4">
      <c r="A12366" s="4"/>
      <c r="B12366" s="4"/>
    </row>
    <row r="12367" spans="1:2" x14ac:dyDescent="0.4">
      <c r="A12367" s="4"/>
      <c r="B12367" s="4"/>
    </row>
    <row r="12368" spans="1:2" x14ac:dyDescent="0.4">
      <c r="A12368" s="4"/>
      <c r="B12368" s="4"/>
    </row>
    <row r="12369" spans="1:2" x14ac:dyDescent="0.4">
      <c r="A12369" s="4"/>
      <c r="B12369" s="4"/>
    </row>
    <row r="12370" spans="1:2" x14ac:dyDescent="0.4">
      <c r="A12370" s="4"/>
      <c r="B12370" s="4"/>
    </row>
    <row r="12371" spans="1:2" x14ac:dyDescent="0.4">
      <c r="A12371" s="4"/>
      <c r="B12371" s="4"/>
    </row>
    <row r="12372" spans="1:2" x14ac:dyDescent="0.4">
      <c r="A12372" s="4"/>
      <c r="B12372" s="4"/>
    </row>
    <row r="12373" spans="1:2" x14ac:dyDescent="0.4">
      <c r="A12373" s="4"/>
      <c r="B12373" s="4"/>
    </row>
    <row r="12374" spans="1:2" x14ac:dyDescent="0.4">
      <c r="A12374" s="4"/>
      <c r="B12374" s="4"/>
    </row>
    <row r="12375" spans="1:2" x14ac:dyDescent="0.4">
      <c r="A12375" s="4"/>
      <c r="B12375" s="4"/>
    </row>
    <row r="12376" spans="1:2" x14ac:dyDescent="0.4">
      <c r="A12376" s="4"/>
      <c r="B12376" s="4"/>
    </row>
    <row r="12377" spans="1:2" x14ac:dyDescent="0.4">
      <c r="A12377" s="4"/>
      <c r="B12377" s="4"/>
    </row>
    <row r="12378" spans="1:2" x14ac:dyDescent="0.4">
      <c r="A12378" s="4"/>
      <c r="B12378" s="4"/>
    </row>
    <row r="12379" spans="1:2" x14ac:dyDescent="0.4">
      <c r="A12379" s="4"/>
      <c r="B12379" s="4"/>
    </row>
    <row r="12380" spans="1:2" x14ac:dyDescent="0.4">
      <c r="A12380" s="4"/>
      <c r="B12380" s="4"/>
    </row>
    <row r="12381" spans="1:2" x14ac:dyDescent="0.4">
      <c r="A12381" s="4"/>
      <c r="B12381" s="4"/>
    </row>
    <row r="12382" spans="1:2" x14ac:dyDescent="0.4">
      <c r="A12382" s="4"/>
      <c r="B12382" s="4"/>
    </row>
    <row r="12383" spans="1:2" x14ac:dyDescent="0.4">
      <c r="A12383" s="4"/>
      <c r="B12383" s="4"/>
    </row>
    <row r="12384" spans="1:2" x14ac:dyDescent="0.4">
      <c r="A12384" s="4"/>
      <c r="B12384" s="4"/>
    </row>
    <row r="12385" spans="1:2" x14ac:dyDescent="0.4">
      <c r="A12385" s="4"/>
      <c r="B12385" s="4"/>
    </row>
    <row r="12386" spans="1:2" x14ac:dyDescent="0.4">
      <c r="A12386" s="4"/>
      <c r="B12386" s="4"/>
    </row>
    <row r="12387" spans="1:2" x14ac:dyDescent="0.4">
      <c r="A12387" s="4"/>
      <c r="B12387" s="4"/>
    </row>
    <row r="12388" spans="1:2" x14ac:dyDescent="0.4">
      <c r="A12388" s="4"/>
      <c r="B12388" s="4"/>
    </row>
    <row r="12389" spans="1:2" x14ac:dyDescent="0.4">
      <c r="A12389" s="4"/>
      <c r="B12389" s="4"/>
    </row>
    <row r="12390" spans="1:2" x14ac:dyDescent="0.4">
      <c r="A12390" s="4"/>
      <c r="B12390" s="4"/>
    </row>
    <row r="12391" spans="1:2" x14ac:dyDescent="0.4">
      <c r="A12391" s="4"/>
      <c r="B12391" s="4"/>
    </row>
    <row r="12392" spans="1:2" x14ac:dyDescent="0.4">
      <c r="A12392" s="4"/>
      <c r="B12392" s="4"/>
    </row>
    <row r="12393" spans="1:2" x14ac:dyDescent="0.4">
      <c r="A12393" s="4"/>
      <c r="B12393" s="4"/>
    </row>
    <row r="12394" spans="1:2" x14ac:dyDescent="0.4">
      <c r="A12394" s="4"/>
      <c r="B12394" s="4"/>
    </row>
    <row r="12395" spans="1:2" x14ac:dyDescent="0.4">
      <c r="A12395" s="4"/>
      <c r="B12395" s="4"/>
    </row>
    <row r="12396" spans="1:2" x14ac:dyDescent="0.4">
      <c r="A12396" s="4"/>
      <c r="B12396" s="4"/>
    </row>
    <row r="12397" spans="1:2" x14ac:dyDescent="0.4">
      <c r="A12397" s="4"/>
      <c r="B12397" s="4"/>
    </row>
    <row r="12398" spans="1:2" x14ac:dyDescent="0.4">
      <c r="A12398" s="4"/>
      <c r="B12398" s="4"/>
    </row>
    <row r="12399" spans="1:2" x14ac:dyDescent="0.4">
      <c r="A12399" s="4"/>
      <c r="B12399" s="4"/>
    </row>
    <row r="12400" spans="1:2" x14ac:dyDescent="0.4">
      <c r="A12400" s="4"/>
      <c r="B12400" s="4"/>
    </row>
    <row r="12401" spans="1:2" x14ac:dyDescent="0.4">
      <c r="A12401" s="4"/>
      <c r="B12401" s="4"/>
    </row>
    <row r="12402" spans="1:2" x14ac:dyDescent="0.4">
      <c r="A12402" s="4"/>
      <c r="B12402" s="4"/>
    </row>
    <row r="12403" spans="1:2" x14ac:dyDescent="0.4">
      <c r="A12403" s="4"/>
      <c r="B12403" s="4"/>
    </row>
    <row r="12404" spans="1:2" x14ac:dyDescent="0.4">
      <c r="A12404" s="4"/>
      <c r="B12404" s="4"/>
    </row>
    <row r="12405" spans="1:2" x14ac:dyDescent="0.4">
      <c r="A12405" s="4"/>
      <c r="B12405" s="4"/>
    </row>
    <row r="12406" spans="1:2" x14ac:dyDescent="0.4">
      <c r="A12406" s="4"/>
      <c r="B12406" s="4"/>
    </row>
    <row r="12407" spans="1:2" x14ac:dyDescent="0.4">
      <c r="A12407" s="4"/>
      <c r="B12407" s="4"/>
    </row>
    <row r="12408" spans="1:2" x14ac:dyDescent="0.4">
      <c r="A12408" s="4"/>
      <c r="B12408" s="4"/>
    </row>
    <row r="12409" spans="1:2" x14ac:dyDescent="0.4">
      <c r="A12409" s="4"/>
      <c r="B12409" s="4"/>
    </row>
    <row r="12410" spans="1:2" x14ac:dyDescent="0.4">
      <c r="A12410" s="4"/>
      <c r="B12410" s="4"/>
    </row>
    <row r="12411" spans="1:2" x14ac:dyDescent="0.4">
      <c r="A12411" s="4"/>
      <c r="B12411" s="4"/>
    </row>
    <row r="12412" spans="1:2" x14ac:dyDescent="0.4">
      <c r="A12412" s="4"/>
      <c r="B12412" s="4"/>
    </row>
    <row r="12413" spans="1:2" x14ac:dyDescent="0.4">
      <c r="A12413" s="4"/>
      <c r="B12413" s="4"/>
    </row>
    <row r="12414" spans="1:2" x14ac:dyDescent="0.4">
      <c r="A12414" s="4"/>
      <c r="B12414" s="4"/>
    </row>
    <row r="12415" spans="1:2" x14ac:dyDescent="0.4">
      <c r="A12415" s="4"/>
      <c r="B12415" s="4"/>
    </row>
    <row r="12416" spans="1:2" x14ac:dyDescent="0.4">
      <c r="A12416" s="4"/>
      <c r="B12416" s="4"/>
    </row>
    <row r="12417" spans="1:2" x14ac:dyDescent="0.4">
      <c r="A12417" s="4"/>
      <c r="B12417" s="4"/>
    </row>
    <row r="12418" spans="1:2" x14ac:dyDescent="0.4">
      <c r="A12418" s="4"/>
      <c r="B12418" s="4"/>
    </row>
    <row r="12419" spans="1:2" x14ac:dyDescent="0.4">
      <c r="A12419" s="4"/>
      <c r="B12419" s="4"/>
    </row>
    <row r="12420" spans="1:2" x14ac:dyDescent="0.4">
      <c r="A12420" s="4"/>
      <c r="B12420" s="4"/>
    </row>
    <row r="12421" spans="1:2" x14ac:dyDescent="0.4">
      <c r="A12421" s="4"/>
      <c r="B12421" s="4"/>
    </row>
    <row r="12422" spans="1:2" x14ac:dyDescent="0.4">
      <c r="A12422" s="4"/>
      <c r="B12422" s="4"/>
    </row>
    <row r="12423" spans="1:2" x14ac:dyDescent="0.4">
      <c r="A12423" s="4"/>
      <c r="B12423" s="4"/>
    </row>
    <row r="12424" spans="1:2" x14ac:dyDescent="0.4">
      <c r="A12424" s="4"/>
      <c r="B12424" s="4"/>
    </row>
    <row r="12425" spans="1:2" x14ac:dyDescent="0.4">
      <c r="A12425" s="4"/>
      <c r="B12425" s="4"/>
    </row>
    <row r="12426" spans="1:2" x14ac:dyDescent="0.4">
      <c r="A12426" s="4"/>
      <c r="B12426" s="4"/>
    </row>
    <row r="12427" spans="1:2" x14ac:dyDescent="0.4">
      <c r="A12427" s="4"/>
      <c r="B12427" s="4"/>
    </row>
    <row r="12428" spans="1:2" x14ac:dyDescent="0.4">
      <c r="A12428" s="4"/>
      <c r="B12428" s="4"/>
    </row>
    <row r="12429" spans="1:2" x14ac:dyDescent="0.4">
      <c r="A12429" s="4"/>
      <c r="B12429" s="4"/>
    </row>
    <row r="12430" spans="1:2" x14ac:dyDescent="0.4">
      <c r="A12430" s="4"/>
      <c r="B12430" s="4"/>
    </row>
    <row r="12431" spans="1:2" x14ac:dyDescent="0.4">
      <c r="A12431" s="4"/>
      <c r="B12431" s="4"/>
    </row>
    <row r="12432" spans="1:2" x14ac:dyDescent="0.4">
      <c r="A12432" s="4"/>
      <c r="B12432" s="4"/>
    </row>
    <row r="12433" spans="1:2" x14ac:dyDescent="0.4">
      <c r="A12433" s="4"/>
      <c r="B12433" s="4"/>
    </row>
    <row r="12434" spans="1:2" x14ac:dyDescent="0.4">
      <c r="A12434" s="4"/>
      <c r="B12434" s="4"/>
    </row>
    <row r="12435" spans="1:2" x14ac:dyDescent="0.4">
      <c r="A12435" s="4"/>
      <c r="B12435" s="4"/>
    </row>
    <row r="12436" spans="1:2" x14ac:dyDescent="0.4">
      <c r="A12436" s="4"/>
      <c r="B12436" s="4"/>
    </row>
    <row r="12437" spans="1:2" x14ac:dyDescent="0.4">
      <c r="A12437" s="4"/>
      <c r="B12437" s="4"/>
    </row>
    <row r="12438" spans="1:2" x14ac:dyDescent="0.4">
      <c r="A12438" s="4"/>
      <c r="B12438" s="4"/>
    </row>
    <row r="12439" spans="1:2" x14ac:dyDescent="0.4">
      <c r="A12439" s="4"/>
      <c r="B12439" s="4"/>
    </row>
    <row r="12440" spans="1:2" x14ac:dyDescent="0.4">
      <c r="A12440" s="4"/>
      <c r="B12440" s="4"/>
    </row>
    <row r="12441" spans="1:2" x14ac:dyDescent="0.4">
      <c r="A12441" s="4"/>
      <c r="B12441" s="4"/>
    </row>
    <row r="12442" spans="1:2" x14ac:dyDescent="0.4">
      <c r="A12442" s="4"/>
      <c r="B12442" s="4"/>
    </row>
    <row r="12443" spans="1:2" x14ac:dyDescent="0.4">
      <c r="A12443" s="4"/>
      <c r="B12443" s="4"/>
    </row>
    <row r="12444" spans="1:2" x14ac:dyDescent="0.4">
      <c r="A12444" s="4"/>
      <c r="B12444" s="4"/>
    </row>
    <row r="12445" spans="1:2" x14ac:dyDescent="0.4">
      <c r="A12445" s="4"/>
      <c r="B12445" s="4"/>
    </row>
    <row r="12446" spans="1:2" x14ac:dyDescent="0.4">
      <c r="A12446" s="4"/>
      <c r="B12446" s="4"/>
    </row>
    <row r="12447" spans="1:2" x14ac:dyDescent="0.4">
      <c r="A12447" s="4"/>
      <c r="B12447" s="4"/>
    </row>
    <row r="12448" spans="1:2" x14ac:dyDescent="0.4">
      <c r="A12448" s="4"/>
      <c r="B12448" s="4"/>
    </row>
    <row r="12449" spans="1:2" x14ac:dyDescent="0.4">
      <c r="A12449" s="4"/>
      <c r="B12449" s="4"/>
    </row>
    <row r="12450" spans="1:2" x14ac:dyDescent="0.4">
      <c r="A12450" s="4"/>
      <c r="B12450" s="4"/>
    </row>
    <row r="12451" spans="1:2" x14ac:dyDescent="0.4">
      <c r="A12451" s="4"/>
      <c r="B12451" s="4"/>
    </row>
    <row r="12452" spans="1:2" x14ac:dyDescent="0.4">
      <c r="A12452" s="4"/>
      <c r="B12452" s="4"/>
    </row>
    <row r="12453" spans="1:2" x14ac:dyDescent="0.4">
      <c r="A12453" s="4"/>
      <c r="B12453" s="4"/>
    </row>
    <row r="12454" spans="1:2" x14ac:dyDescent="0.4">
      <c r="A12454" s="4"/>
      <c r="B12454" s="4"/>
    </row>
    <row r="12455" spans="1:2" x14ac:dyDescent="0.4">
      <c r="A12455" s="4"/>
      <c r="B12455" s="4"/>
    </row>
    <row r="12456" spans="1:2" x14ac:dyDescent="0.4">
      <c r="A12456" s="4"/>
      <c r="B12456" s="4"/>
    </row>
    <row r="12457" spans="1:2" x14ac:dyDescent="0.4">
      <c r="A12457" s="4"/>
      <c r="B12457" s="4"/>
    </row>
    <row r="12458" spans="1:2" x14ac:dyDescent="0.4">
      <c r="A12458" s="4"/>
      <c r="B12458" s="4"/>
    </row>
    <row r="12459" spans="1:2" x14ac:dyDescent="0.4">
      <c r="A12459" s="4"/>
      <c r="B12459" s="4"/>
    </row>
    <row r="12460" spans="1:2" x14ac:dyDescent="0.4">
      <c r="A12460" s="4"/>
      <c r="B12460" s="4"/>
    </row>
    <row r="12461" spans="1:2" x14ac:dyDescent="0.4">
      <c r="A12461" s="4"/>
      <c r="B12461" s="4"/>
    </row>
    <row r="12462" spans="1:2" x14ac:dyDescent="0.4">
      <c r="A12462" s="4"/>
      <c r="B12462" s="4"/>
    </row>
    <row r="12463" spans="1:2" x14ac:dyDescent="0.4">
      <c r="A12463" s="4"/>
      <c r="B12463" s="4"/>
    </row>
    <row r="12464" spans="1:2" x14ac:dyDescent="0.4">
      <c r="A12464" s="4"/>
      <c r="B12464" s="4"/>
    </row>
    <row r="12465" spans="1:2" x14ac:dyDescent="0.4">
      <c r="A12465" s="4"/>
      <c r="B12465" s="4"/>
    </row>
    <row r="12466" spans="1:2" x14ac:dyDescent="0.4">
      <c r="A12466" s="4"/>
      <c r="B12466" s="4"/>
    </row>
    <row r="12467" spans="1:2" x14ac:dyDescent="0.4">
      <c r="A12467" s="4"/>
      <c r="B12467" s="4"/>
    </row>
    <row r="12468" spans="1:2" x14ac:dyDescent="0.4">
      <c r="A12468" s="4"/>
      <c r="B12468" s="4"/>
    </row>
    <row r="12469" spans="1:2" x14ac:dyDescent="0.4">
      <c r="A12469" s="4"/>
      <c r="B12469" s="4"/>
    </row>
    <row r="12470" spans="1:2" x14ac:dyDescent="0.4">
      <c r="A12470" s="4"/>
      <c r="B12470" s="4"/>
    </row>
    <row r="12471" spans="1:2" x14ac:dyDescent="0.4">
      <c r="A12471" s="4"/>
      <c r="B12471" s="4"/>
    </row>
    <row r="12472" spans="1:2" x14ac:dyDescent="0.4">
      <c r="A12472" s="4"/>
      <c r="B12472" s="4"/>
    </row>
    <row r="12473" spans="1:2" x14ac:dyDescent="0.4">
      <c r="A12473" s="4"/>
      <c r="B12473" s="4"/>
    </row>
    <row r="12474" spans="1:2" x14ac:dyDescent="0.4">
      <c r="A12474" s="4"/>
      <c r="B12474" s="4"/>
    </row>
    <row r="12475" spans="1:2" x14ac:dyDescent="0.4">
      <c r="A12475" s="4"/>
      <c r="B12475" s="4"/>
    </row>
    <row r="12476" spans="1:2" x14ac:dyDescent="0.4">
      <c r="A12476" s="4"/>
      <c r="B12476" s="4"/>
    </row>
    <row r="12477" spans="1:2" x14ac:dyDescent="0.4">
      <c r="A12477" s="4"/>
      <c r="B12477" s="4"/>
    </row>
    <row r="12478" spans="1:2" x14ac:dyDescent="0.4">
      <c r="A12478" s="4"/>
      <c r="B12478" s="4"/>
    </row>
    <row r="12479" spans="1:2" x14ac:dyDescent="0.4">
      <c r="A12479" s="4"/>
      <c r="B12479" s="4"/>
    </row>
    <row r="12480" spans="1:2" x14ac:dyDescent="0.4">
      <c r="A12480" s="4"/>
      <c r="B12480" s="4"/>
    </row>
    <row r="12481" spans="1:2" x14ac:dyDescent="0.4">
      <c r="A12481" s="4"/>
      <c r="B12481" s="4"/>
    </row>
    <row r="12482" spans="1:2" x14ac:dyDescent="0.4">
      <c r="A12482" s="4"/>
      <c r="B12482" s="4"/>
    </row>
    <row r="12483" spans="1:2" x14ac:dyDescent="0.4">
      <c r="A12483" s="4"/>
      <c r="B12483" s="4"/>
    </row>
    <row r="12484" spans="1:2" x14ac:dyDescent="0.4">
      <c r="A12484" s="4"/>
      <c r="B12484" s="4"/>
    </row>
    <row r="12485" spans="1:2" x14ac:dyDescent="0.4">
      <c r="A12485" s="4"/>
      <c r="B12485" s="4"/>
    </row>
    <row r="12486" spans="1:2" x14ac:dyDescent="0.4">
      <c r="A12486" s="4"/>
      <c r="B12486" s="4"/>
    </row>
    <row r="12487" spans="1:2" x14ac:dyDescent="0.4">
      <c r="A12487" s="4"/>
      <c r="B12487" s="4"/>
    </row>
    <row r="12488" spans="1:2" x14ac:dyDescent="0.4">
      <c r="A12488" s="4"/>
      <c r="B12488" s="4"/>
    </row>
    <row r="12489" spans="1:2" x14ac:dyDescent="0.4">
      <c r="A12489" s="4"/>
      <c r="B12489" s="4"/>
    </row>
    <row r="12490" spans="1:2" x14ac:dyDescent="0.4">
      <c r="A12490" s="4"/>
      <c r="B12490" s="4"/>
    </row>
    <row r="12491" spans="1:2" x14ac:dyDescent="0.4">
      <c r="A12491" s="4"/>
      <c r="B12491" s="4"/>
    </row>
    <row r="12492" spans="1:2" x14ac:dyDescent="0.4">
      <c r="A12492" s="4"/>
      <c r="B12492" s="4"/>
    </row>
    <row r="12493" spans="1:2" x14ac:dyDescent="0.4">
      <c r="A12493" s="4"/>
      <c r="B12493" s="4"/>
    </row>
    <row r="12494" spans="1:2" x14ac:dyDescent="0.4">
      <c r="A12494" s="4"/>
      <c r="B12494" s="4"/>
    </row>
    <row r="12495" spans="1:2" x14ac:dyDescent="0.4">
      <c r="A12495" s="4"/>
      <c r="B12495" s="4"/>
    </row>
    <row r="12496" spans="1:2" x14ac:dyDescent="0.4">
      <c r="A12496" s="4"/>
      <c r="B12496" s="4"/>
    </row>
    <row r="12497" spans="1:2" x14ac:dyDescent="0.4">
      <c r="A12497" s="4"/>
      <c r="B12497" s="4"/>
    </row>
    <row r="12498" spans="1:2" x14ac:dyDescent="0.4">
      <c r="A12498" s="4"/>
      <c r="B12498" s="4"/>
    </row>
    <row r="12499" spans="1:2" x14ac:dyDescent="0.4">
      <c r="A12499" s="4"/>
      <c r="B12499" s="4"/>
    </row>
    <row r="12500" spans="1:2" x14ac:dyDescent="0.4">
      <c r="A12500" s="4"/>
      <c r="B12500" s="4"/>
    </row>
    <row r="12501" spans="1:2" x14ac:dyDescent="0.4">
      <c r="A12501" s="4"/>
      <c r="B12501" s="4"/>
    </row>
    <row r="12502" spans="1:2" x14ac:dyDescent="0.4">
      <c r="A12502" s="4"/>
      <c r="B12502" s="4"/>
    </row>
    <row r="12503" spans="1:2" x14ac:dyDescent="0.4">
      <c r="A12503" s="4"/>
      <c r="B12503" s="4"/>
    </row>
    <row r="12504" spans="1:2" x14ac:dyDescent="0.4">
      <c r="A12504" s="4"/>
      <c r="B12504" s="4"/>
    </row>
    <row r="12505" spans="1:2" x14ac:dyDescent="0.4">
      <c r="A12505" s="4"/>
      <c r="B12505" s="4"/>
    </row>
    <row r="12506" spans="1:2" x14ac:dyDescent="0.4">
      <c r="A12506" s="4"/>
      <c r="B12506" s="4"/>
    </row>
    <row r="12507" spans="1:2" x14ac:dyDescent="0.4">
      <c r="A12507" s="4"/>
      <c r="B12507" s="4"/>
    </row>
    <row r="12508" spans="1:2" x14ac:dyDescent="0.4">
      <c r="A12508" s="4"/>
      <c r="B12508" s="4"/>
    </row>
    <row r="12509" spans="1:2" x14ac:dyDescent="0.4">
      <c r="A12509" s="4"/>
      <c r="B12509" s="4"/>
    </row>
    <row r="12510" spans="1:2" x14ac:dyDescent="0.4">
      <c r="A12510" s="4"/>
      <c r="B12510" s="4"/>
    </row>
    <row r="12511" spans="1:2" x14ac:dyDescent="0.4">
      <c r="A12511" s="4"/>
      <c r="B12511" s="4"/>
    </row>
    <row r="12512" spans="1:2" x14ac:dyDescent="0.4">
      <c r="A12512" s="4"/>
      <c r="B12512" s="4"/>
    </row>
    <row r="12513" spans="1:2" x14ac:dyDescent="0.4">
      <c r="A12513" s="4"/>
      <c r="B12513" s="4"/>
    </row>
    <row r="12514" spans="1:2" x14ac:dyDescent="0.4">
      <c r="A12514" s="4"/>
      <c r="B12514" s="4"/>
    </row>
    <row r="12515" spans="1:2" x14ac:dyDescent="0.4">
      <c r="A12515" s="4"/>
      <c r="B12515" s="4"/>
    </row>
    <row r="12516" spans="1:2" x14ac:dyDescent="0.4">
      <c r="A12516" s="4"/>
      <c r="B12516" s="4"/>
    </row>
    <row r="12517" spans="1:2" x14ac:dyDescent="0.4">
      <c r="A12517" s="4"/>
      <c r="B12517" s="4"/>
    </row>
    <row r="12518" spans="1:2" x14ac:dyDescent="0.4">
      <c r="A12518" s="4"/>
      <c r="B12518" s="4"/>
    </row>
    <row r="12519" spans="1:2" x14ac:dyDescent="0.4">
      <c r="A12519" s="4"/>
      <c r="B12519" s="4"/>
    </row>
    <row r="12520" spans="1:2" x14ac:dyDescent="0.4">
      <c r="A12520" s="4"/>
      <c r="B12520" s="4"/>
    </row>
    <row r="12521" spans="1:2" x14ac:dyDescent="0.4">
      <c r="A12521" s="4"/>
      <c r="B12521" s="4"/>
    </row>
    <row r="12522" spans="1:2" x14ac:dyDescent="0.4">
      <c r="A12522" s="4"/>
      <c r="B12522" s="4"/>
    </row>
    <row r="12523" spans="1:2" x14ac:dyDescent="0.4">
      <c r="A12523" s="4"/>
      <c r="B12523" s="4"/>
    </row>
    <row r="12524" spans="1:2" x14ac:dyDescent="0.4">
      <c r="A12524" s="4"/>
      <c r="B12524" s="4"/>
    </row>
    <row r="12525" spans="1:2" x14ac:dyDescent="0.4">
      <c r="A12525" s="4"/>
      <c r="B12525" s="4"/>
    </row>
    <row r="12526" spans="1:2" x14ac:dyDescent="0.4">
      <c r="A12526" s="4"/>
      <c r="B12526" s="4"/>
    </row>
    <row r="12527" spans="1:2" x14ac:dyDescent="0.4">
      <c r="A12527" s="4"/>
      <c r="B12527" s="4"/>
    </row>
    <row r="12528" spans="1:2" x14ac:dyDescent="0.4">
      <c r="A12528" s="4"/>
      <c r="B12528" s="4"/>
    </row>
    <row r="12529" spans="1:2" x14ac:dyDescent="0.4">
      <c r="A12529" s="4"/>
      <c r="B12529" s="4"/>
    </row>
    <row r="12530" spans="1:2" x14ac:dyDescent="0.4">
      <c r="A12530" s="4"/>
      <c r="B12530" s="4"/>
    </row>
    <row r="12531" spans="1:2" x14ac:dyDescent="0.4">
      <c r="A12531" s="4"/>
      <c r="B12531" s="4"/>
    </row>
    <row r="12532" spans="1:2" x14ac:dyDescent="0.4">
      <c r="A12532" s="4"/>
      <c r="B12532" s="4"/>
    </row>
    <row r="12533" spans="1:2" x14ac:dyDescent="0.4">
      <c r="A12533" s="4"/>
      <c r="B12533" s="4"/>
    </row>
    <row r="12534" spans="1:2" x14ac:dyDescent="0.4">
      <c r="A12534" s="4"/>
      <c r="B12534" s="4"/>
    </row>
    <row r="12535" spans="1:2" x14ac:dyDescent="0.4">
      <c r="A12535" s="4"/>
      <c r="B12535" s="4"/>
    </row>
    <row r="12536" spans="1:2" x14ac:dyDescent="0.4">
      <c r="A12536" s="4"/>
      <c r="B12536" s="4"/>
    </row>
    <row r="12537" spans="1:2" x14ac:dyDescent="0.4">
      <c r="A12537" s="4"/>
      <c r="B12537" s="4"/>
    </row>
    <row r="12538" spans="1:2" x14ac:dyDescent="0.4">
      <c r="A12538" s="4"/>
      <c r="B12538" s="4"/>
    </row>
    <row r="12539" spans="1:2" x14ac:dyDescent="0.4">
      <c r="A12539" s="4"/>
      <c r="B12539" s="4"/>
    </row>
    <row r="12540" spans="1:2" x14ac:dyDescent="0.4">
      <c r="A12540" s="4"/>
      <c r="B12540" s="4"/>
    </row>
    <row r="12541" spans="1:2" x14ac:dyDescent="0.4">
      <c r="A12541" s="4"/>
      <c r="B12541" s="4"/>
    </row>
    <row r="12542" spans="1:2" x14ac:dyDescent="0.4">
      <c r="A12542" s="4"/>
      <c r="B12542" s="4"/>
    </row>
    <row r="12543" spans="1:2" x14ac:dyDescent="0.4">
      <c r="A12543" s="4"/>
      <c r="B12543" s="4"/>
    </row>
    <row r="12544" spans="1:2" x14ac:dyDescent="0.4">
      <c r="A12544" s="4"/>
      <c r="B12544" s="4"/>
    </row>
    <row r="12545" spans="1:2" x14ac:dyDescent="0.4">
      <c r="A12545" s="4"/>
      <c r="B12545" s="4"/>
    </row>
    <row r="12546" spans="1:2" x14ac:dyDescent="0.4">
      <c r="A12546" s="4"/>
      <c r="B12546" s="4"/>
    </row>
    <row r="12547" spans="1:2" x14ac:dyDescent="0.4">
      <c r="A12547" s="4"/>
      <c r="B12547" s="4"/>
    </row>
    <row r="12548" spans="1:2" x14ac:dyDescent="0.4">
      <c r="A12548" s="4"/>
      <c r="B12548" s="4"/>
    </row>
    <row r="12549" spans="1:2" x14ac:dyDescent="0.4">
      <c r="A12549" s="4"/>
      <c r="B12549" s="4"/>
    </row>
    <row r="12550" spans="1:2" x14ac:dyDescent="0.4">
      <c r="A12550" s="4"/>
      <c r="B12550" s="4"/>
    </row>
    <row r="12551" spans="1:2" x14ac:dyDescent="0.4">
      <c r="A12551" s="4"/>
      <c r="B12551" s="4"/>
    </row>
    <row r="12552" spans="1:2" x14ac:dyDescent="0.4">
      <c r="A12552" s="4"/>
      <c r="B12552" s="4"/>
    </row>
    <row r="12553" spans="1:2" x14ac:dyDescent="0.4">
      <c r="A12553" s="4"/>
      <c r="B12553" s="4"/>
    </row>
    <row r="12554" spans="1:2" x14ac:dyDescent="0.4">
      <c r="A12554" s="4"/>
      <c r="B12554" s="4"/>
    </row>
    <row r="12555" spans="1:2" x14ac:dyDescent="0.4">
      <c r="A12555" s="4"/>
      <c r="B12555" s="4"/>
    </row>
    <row r="12556" spans="1:2" x14ac:dyDescent="0.4">
      <c r="A12556" s="4"/>
      <c r="B12556" s="4"/>
    </row>
    <row r="12557" spans="1:2" x14ac:dyDescent="0.4">
      <c r="A12557" s="4"/>
      <c r="B12557" s="4"/>
    </row>
    <row r="12558" spans="1:2" x14ac:dyDescent="0.4">
      <c r="A12558" s="4"/>
      <c r="B12558" s="4"/>
    </row>
    <row r="12559" spans="1:2" x14ac:dyDescent="0.4">
      <c r="A12559" s="4"/>
      <c r="B12559" s="4"/>
    </row>
    <row r="12560" spans="1:2" x14ac:dyDescent="0.4">
      <c r="A12560" s="4"/>
      <c r="B12560" s="4"/>
    </row>
    <row r="12561" spans="1:2" x14ac:dyDescent="0.4">
      <c r="A12561" s="4"/>
      <c r="B12561" s="4"/>
    </row>
    <row r="12562" spans="1:2" x14ac:dyDescent="0.4">
      <c r="A12562" s="4"/>
      <c r="B12562" s="4"/>
    </row>
    <row r="12563" spans="1:2" x14ac:dyDescent="0.4">
      <c r="A12563" s="4"/>
      <c r="B12563" s="4"/>
    </row>
    <row r="12564" spans="1:2" x14ac:dyDescent="0.4">
      <c r="A12564" s="4"/>
      <c r="B12564" s="4"/>
    </row>
    <row r="12565" spans="1:2" x14ac:dyDescent="0.4">
      <c r="A12565" s="4"/>
      <c r="B12565" s="4"/>
    </row>
    <row r="12566" spans="1:2" x14ac:dyDescent="0.4">
      <c r="A12566" s="4"/>
      <c r="B12566" s="4"/>
    </row>
    <row r="12567" spans="1:2" x14ac:dyDescent="0.4">
      <c r="A12567" s="4"/>
      <c r="B12567" s="4"/>
    </row>
    <row r="12568" spans="1:2" x14ac:dyDescent="0.4">
      <c r="A12568" s="4"/>
      <c r="B12568" s="4"/>
    </row>
    <row r="12569" spans="1:2" x14ac:dyDescent="0.4">
      <c r="A12569" s="4"/>
      <c r="B12569" s="4"/>
    </row>
    <row r="12570" spans="1:2" x14ac:dyDescent="0.4">
      <c r="A12570" s="4"/>
      <c r="B12570" s="4"/>
    </row>
    <row r="12571" spans="1:2" x14ac:dyDescent="0.4">
      <c r="A12571" s="4"/>
      <c r="B12571" s="4"/>
    </row>
    <row r="12572" spans="1:2" x14ac:dyDescent="0.4">
      <c r="A12572" s="4"/>
      <c r="B12572" s="4"/>
    </row>
    <row r="12573" spans="1:2" x14ac:dyDescent="0.4">
      <c r="A12573" s="4"/>
      <c r="B12573" s="4"/>
    </row>
    <row r="12574" spans="1:2" x14ac:dyDescent="0.4">
      <c r="A12574" s="4"/>
      <c r="B12574" s="4"/>
    </row>
    <row r="12575" spans="1:2" x14ac:dyDescent="0.4">
      <c r="A12575" s="4"/>
      <c r="B12575" s="4"/>
    </row>
    <row r="12576" spans="1:2" x14ac:dyDescent="0.4">
      <c r="A12576" s="4"/>
      <c r="B12576" s="4"/>
    </row>
    <row r="12577" spans="1:2" x14ac:dyDescent="0.4">
      <c r="A12577" s="4"/>
      <c r="B12577" s="4"/>
    </row>
    <row r="12578" spans="1:2" x14ac:dyDescent="0.4">
      <c r="A12578" s="4"/>
      <c r="B12578" s="4"/>
    </row>
    <row r="12579" spans="1:2" x14ac:dyDescent="0.4">
      <c r="A12579" s="4"/>
      <c r="B12579" s="4"/>
    </row>
    <row r="12580" spans="1:2" x14ac:dyDescent="0.4">
      <c r="A12580" s="4"/>
      <c r="B12580" s="4"/>
    </row>
    <row r="12581" spans="1:2" x14ac:dyDescent="0.4">
      <c r="A12581" s="4"/>
      <c r="B12581" s="4"/>
    </row>
    <row r="12582" spans="1:2" x14ac:dyDescent="0.4">
      <c r="A12582" s="4"/>
      <c r="B12582" s="4"/>
    </row>
    <row r="12583" spans="1:2" x14ac:dyDescent="0.4">
      <c r="A12583" s="4"/>
      <c r="B12583" s="4"/>
    </row>
    <row r="12584" spans="1:2" x14ac:dyDescent="0.4">
      <c r="A12584" s="4"/>
      <c r="B12584" s="4"/>
    </row>
    <row r="12585" spans="1:2" x14ac:dyDescent="0.4">
      <c r="A12585" s="4"/>
      <c r="B12585" s="4"/>
    </row>
    <row r="12586" spans="1:2" x14ac:dyDescent="0.4">
      <c r="A12586" s="4"/>
      <c r="B12586" s="4"/>
    </row>
    <row r="12587" spans="1:2" x14ac:dyDescent="0.4">
      <c r="A12587" s="4"/>
      <c r="B12587" s="4"/>
    </row>
    <row r="12588" spans="1:2" x14ac:dyDescent="0.4">
      <c r="A12588" s="4"/>
      <c r="B12588" s="4"/>
    </row>
    <row r="12589" spans="1:2" x14ac:dyDescent="0.4">
      <c r="A12589" s="4"/>
      <c r="B12589" s="4"/>
    </row>
    <row r="12590" spans="1:2" x14ac:dyDescent="0.4">
      <c r="A12590" s="4"/>
      <c r="B12590" s="4"/>
    </row>
    <row r="12591" spans="1:2" x14ac:dyDescent="0.4">
      <c r="A12591" s="4"/>
      <c r="B12591" s="4"/>
    </row>
    <row r="12592" spans="1:2" x14ac:dyDescent="0.4">
      <c r="A12592" s="4"/>
      <c r="B12592" s="4"/>
    </row>
    <row r="12593" spans="1:2" x14ac:dyDescent="0.4">
      <c r="A12593" s="4"/>
      <c r="B12593" s="4"/>
    </row>
    <row r="12594" spans="1:2" x14ac:dyDescent="0.4">
      <c r="A12594" s="4"/>
      <c r="B12594" s="4"/>
    </row>
    <row r="12595" spans="1:2" x14ac:dyDescent="0.4">
      <c r="A12595" s="4"/>
      <c r="B12595" s="4"/>
    </row>
    <row r="12596" spans="1:2" x14ac:dyDescent="0.4">
      <c r="A12596" s="4"/>
      <c r="B12596" s="4"/>
    </row>
    <row r="12597" spans="1:2" x14ac:dyDescent="0.4">
      <c r="A12597" s="4"/>
      <c r="B12597" s="4"/>
    </row>
    <row r="12598" spans="1:2" x14ac:dyDescent="0.4">
      <c r="A12598" s="4"/>
      <c r="B12598" s="4"/>
    </row>
    <row r="12599" spans="1:2" x14ac:dyDescent="0.4">
      <c r="A12599" s="4"/>
      <c r="B12599" s="4"/>
    </row>
    <row r="12600" spans="1:2" x14ac:dyDescent="0.4">
      <c r="A12600" s="4"/>
      <c r="B12600" s="4"/>
    </row>
    <row r="12601" spans="1:2" x14ac:dyDescent="0.4">
      <c r="A12601" s="4"/>
      <c r="B12601" s="4"/>
    </row>
    <row r="12602" spans="1:2" x14ac:dyDescent="0.4">
      <c r="A12602" s="4"/>
      <c r="B12602" s="4"/>
    </row>
    <row r="12603" spans="1:2" x14ac:dyDescent="0.4">
      <c r="A12603" s="4"/>
      <c r="B12603" s="4"/>
    </row>
    <row r="12604" spans="1:2" x14ac:dyDescent="0.4">
      <c r="A12604" s="4"/>
      <c r="B12604" s="4"/>
    </row>
    <row r="12605" spans="1:2" x14ac:dyDescent="0.4">
      <c r="A12605" s="4"/>
      <c r="B12605" s="4"/>
    </row>
    <row r="12606" spans="1:2" x14ac:dyDescent="0.4">
      <c r="A12606" s="4"/>
      <c r="B12606" s="4"/>
    </row>
    <row r="12607" spans="1:2" x14ac:dyDescent="0.4">
      <c r="A12607" s="4"/>
      <c r="B12607" s="4"/>
    </row>
    <row r="12608" spans="1:2" x14ac:dyDescent="0.4">
      <c r="A12608" s="4"/>
      <c r="B12608" s="4"/>
    </row>
    <row r="12609" spans="1:2" x14ac:dyDescent="0.4">
      <c r="A12609" s="4"/>
      <c r="B12609" s="4"/>
    </row>
    <row r="12610" spans="1:2" x14ac:dyDescent="0.4">
      <c r="A12610" s="4"/>
      <c r="B12610" s="4"/>
    </row>
    <row r="12611" spans="1:2" x14ac:dyDescent="0.4">
      <c r="A12611" s="4"/>
      <c r="B12611" s="4"/>
    </row>
    <row r="12612" spans="1:2" x14ac:dyDescent="0.4">
      <c r="A12612" s="4"/>
      <c r="B12612" s="4"/>
    </row>
    <row r="12613" spans="1:2" x14ac:dyDescent="0.4">
      <c r="A12613" s="4"/>
      <c r="B12613" s="4"/>
    </row>
    <row r="12614" spans="1:2" x14ac:dyDescent="0.4">
      <c r="A12614" s="4"/>
      <c r="B12614" s="4"/>
    </row>
    <row r="12615" spans="1:2" x14ac:dyDescent="0.4">
      <c r="A12615" s="4"/>
      <c r="B12615" s="4"/>
    </row>
    <row r="12616" spans="1:2" x14ac:dyDescent="0.4">
      <c r="A12616" s="4"/>
      <c r="B12616" s="4"/>
    </row>
    <row r="12617" spans="1:2" x14ac:dyDescent="0.4">
      <c r="A12617" s="4"/>
      <c r="B12617" s="4"/>
    </row>
    <row r="12618" spans="1:2" x14ac:dyDescent="0.4">
      <c r="A12618" s="4"/>
      <c r="B12618" s="4"/>
    </row>
    <row r="12619" spans="1:2" x14ac:dyDescent="0.4">
      <c r="A12619" s="4"/>
      <c r="B12619" s="4"/>
    </row>
    <row r="12620" spans="1:2" x14ac:dyDescent="0.4">
      <c r="A12620" s="4"/>
      <c r="B12620" s="4"/>
    </row>
    <row r="12621" spans="1:2" x14ac:dyDescent="0.4">
      <c r="A12621" s="4"/>
      <c r="B12621" s="4"/>
    </row>
    <row r="12622" spans="1:2" x14ac:dyDescent="0.4">
      <c r="A12622" s="4"/>
      <c r="B12622" s="4"/>
    </row>
    <row r="12623" spans="1:2" x14ac:dyDescent="0.4">
      <c r="A12623" s="4"/>
      <c r="B12623" s="4"/>
    </row>
    <row r="12624" spans="1:2" x14ac:dyDescent="0.4">
      <c r="A12624" s="4"/>
      <c r="B12624" s="4"/>
    </row>
    <row r="12625" spans="1:2" x14ac:dyDescent="0.4">
      <c r="A12625" s="4"/>
      <c r="B12625" s="4"/>
    </row>
    <row r="12626" spans="1:2" x14ac:dyDescent="0.4">
      <c r="A12626" s="4"/>
      <c r="B12626" s="4"/>
    </row>
    <row r="12627" spans="1:2" x14ac:dyDescent="0.4">
      <c r="A12627" s="4"/>
      <c r="B12627" s="4"/>
    </row>
    <row r="12628" spans="1:2" x14ac:dyDescent="0.4">
      <c r="A12628" s="4"/>
      <c r="B12628" s="4"/>
    </row>
    <row r="12629" spans="1:2" x14ac:dyDescent="0.4">
      <c r="A12629" s="4"/>
      <c r="B12629" s="4"/>
    </row>
    <row r="12630" spans="1:2" x14ac:dyDescent="0.4">
      <c r="A12630" s="4"/>
      <c r="B12630" s="4"/>
    </row>
    <row r="12631" spans="1:2" x14ac:dyDescent="0.4">
      <c r="A12631" s="4"/>
      <c r="B12631" s="4"/>
    </row>
    <row r="12632" spans="1:2" x14ac:dyDescent="0.4">
      <c r="A12632" s="4"/>
      <c r="B12632" s="4"/>
    </row>
    <row r="12633" spans="1:2" x14ac:dyDescent="0.4">
      <c r="A12633" s="4"/>
      <c r="B12633" s="4"/>
    </row>
    <row r="12634" spans="1:2" x14ac:dyDescent="0.4">
      <c r="A12634" s="4"/>
      <c r="B12634" s="4"/>
    </row>
    <row r="12635" spans="1:2" x14ac:dyDescent="0.4">
      <c r="A12635" s="4"/>
      <c r="B12635" s="4"/>
    </row>
    <row r="12636" spans="1:2" x14ac:dyDescent="0.4">
      <c r="A12636" s="4"/>
      <c r="B12636" s="4"/>
    </row>
    <row r="12637" spans="1:2" x14ac:dyDescent="0.4">
      <c r="A12637" s="4"/>
      <c r="B12637" s="4"/>
    </row>
    <row r="12638" spans="1:2" x14ac:dyDescent="0.4">
      <c r="A12638" s="4"/>
      <c r="B12638" s="4"/>
    </row>
    <row r="12639" spans="1:2" x14ac:dyDescent="0.4">
      <c r="A12639" s="4"/>
      <c r="B12639" s="4"/>
    </row>
    <row r="12640" spans="1:2" x14ac:dyDescent="0.4">
      <c r="A12640" s="4"/>
      <c r="B12640" s="4"/>
    </row>
    <row r="12641" spans="1:2" x14ac:dyDescent="0.4">
      <c r="A12641" s="4"/>
      <c r="B12641" s="4"/>
    </row>
    <row r="12642" spans="1:2" x14ac:dyDescent="0.4">
      <c r="A12642" s="4"/>
      <c r="B12642" s="4"/>
    </row>
    <row r="12643" spans="1:2" x14ac:dyDescent="0.4">
      <c r="A12643" s="4"/>
      <c r="B12643" s="4"/>
    </row>
    <row r="12644" spans="1:2" x14ac:dyDescent="0.4">
      <c r="A12644" s="4"/>
      <c r="B12644" s="4"/>
    </row>
    <row r="12645" spans="1:2" x14ac:dyDescent="0.4">
      <c r="A12645" s="4"/>
      <c r="B12645" s="4"/>
    </row>
    <row r="12646" spans="1:2" x14ac:dyDescent="0.4">
      <c r="A12646" s="4"/>
      <c r="B12646" s="4"/>
    </row>
    <row r="12647" spans="1:2" x14ac:dyDescent="0.4">
      <c r="A12647" s="4"/>
      <c r="B12647" s="4"/>
    </row>
    <row r="12648" spans="1:2" x14ac:dyDescent="0.4">
      <c r="A12648" s="4"/>
      <c r="B12648" s="4"/>
    </row>
    <row r="12649" spans="1:2" x14ac:dyDescent="0.4">
      <c r="A12649" s="4"/>
      <c r="B12649" s="4"/>
    </row>
    <row r="12650" spans="1:2" x14ac:dyDescent="0.4">
      <c r="A12650" s="4"/>
      <c r="B12650" s="4"/>
    </row>
    <row r="12651" spans="1:2" x14ac:dyDescent="0.4">
      <c r="A12651" s="4"/>
      <c r="B12651" s="4"/>
    </row>
    <row r="12652" spans="1:2" x14ac:dyDescent="0.4">
      <c r="A12652" s="4"/>
      <c r="B12652" s="4"/>
    </row>
    <row r="12653" spans="1:2" x14ac:dyDescent="0.4">
      <c r="A12653" s="4"/>
      <c r="B12653" s="4"/>
    </row>
    <row r="12654" spans="1:2" x14ac:dyDescent="0.4">
      <c r="A12654" s="4"/>
      <c r="B12654" s="4"/>
    </row>
    <row r="12655" spans="1:2" x14ac:dyDescent="0.4">
      <c r="A12655" s="4"/>
      <c r="B12655" s="4"/>
    </row>
    <row r="12656" spans="1:2" x14ac:dyDescent="0.4">
      <c r="A12656" s="4"/>
      <c r="B12656" s="4"/>
    </row>
    <row r="12657" spans="1:2" x14ac:dyDescent="0.4">
      <c r="A12657" s="4"/>
      <c r="B12657" s="4"/>
    </row>
    <row r="12658" spans="1:2" x14ac:dyDescent="0.4">
      <c r="A12658" s="4"/>
      <c r="B12658" s="4"/>
    </row>
    <row r="12659" spans="1:2" x14ac:dyDescent="0.4">
      <c r="A12659" s="4"/>
      <c r="B12659" s="4"/>
    </row>
    <row r="12660" spans="1:2" x14ac:dyDescent="0.4">
      <c r="A12660" s="4"/>
      <c r="B12660" s="4"/>
    </row>
    <row r="12661" spans="1:2" x14ac:dyDescent="0.4">
      <c r="A12661" s="4"/>
      <c r="B12661" s="4"/>
    </row>
    <row r="12662" spans="1:2" x14ac:dyDescent="0.4">
      <c r="A12662" s="4"/>
      <c r="B12662" s="4"/>
    </row>
    <row r="12663" spans="1:2" x14ac:dyDescent="0.4">
      <c r="A12663" s="4"/>
      <c r="B12663" s="4"/>
    </row>
    <row r="12664" spans="1:2" x14ac:dyDescent="0.4">
      <c r="A12664" s="4"/>
      <c r="B12664" s="4"/>
    </row>
    <row r="12665" spans="1:2" x14ac:dyDescent="0.4">
      <c r="A12665" s="4"/>
      <c r="B12665" s="4"/>
    </row>
    <row r="12666" spans="1:2" x14ac:dyDescent="0.4">
      <c r="A12666" s="4"/>
      <c r="B12666" s="4"/>
    </row>
    <row r="12667" spans="1:2" x14ac:dyDescent="0.4">
      <c r="A12667" s="4"/>
      <c r="B12667" s="4"/>
    </row>
    <row r="12668" spans="1:2" x14ac:dyDescent="0.4">
      <c r="A12668" s="4"/>
      <c r="B12668" s="4"/>
    </row>
    <row r="12669" spans="1:2" x14ac:dyDescent="0.4">
      <c r="A12669" s="4"/>
      <c r="B12669" s="4"/>
    </row>
    <row r="12670" spans="1:2" x14ac:dyDescent="0.4">
      <c r="A12670" s="4"/>
      <c r="B12670" s="4"/>
    </row>
    <row r="12671" spans="1:2" x14ac:dyDescent="0.4">
      <c r="A12671" s="4"/>
      <c r="B12671" s="4"/>
    </row>
    <row r="12672" spans="1:2" x14ac:dyDescent="0.4">
      <c r="A12672" s="4"/>
      <c r="B12672" s="4"/>
    </row>
    <row r="12673" spans="1:2" x14ac:dyDescent="0.4">
      <c r="A12673" s="4"/>
      <c r="B12673" s="4"/>
    </row>
    <row r="12674" spans="1:2" x14ac:dyDescent="0.4">
      <c r="A12674" s="4"/>
      <c r="B12674" s="4"/>
    </row>
    <row r="12675" spans="1:2" x14ac:dyDescent="0.4">
      <c r="A12675" s="4"/>
      <c r="B12675" s="4"/>
    </row>
    <row r="12676" spans="1:2" x14ac:dyDescent="0.4">
      <c r="A12676" s="4"/>
      <c r="B12676" s="4"/>
    </row>
    <row r="12677" spans="1:2" x14ac:dyDescent="0.4">
      <c r="A12677" s="4"/>
      <c r="B12677" s="4"/>
    </row>
    <row r="12678" spans="1:2" x14ac:dyDescent="0.4">
      <c r="A12678" s="4"/>
      <c r="B12678" s="4"/>
    </row>
    <row r="12679" spans="1:2" x14ac:dyDescent="0.4">
      <c r="A12679" s="4"/>
      <c r="B12679" s="4"/>
    </row>
    <row r="12680" spans="1:2" x14ac:dyDescent="0.4">
      <c r="A12680" s="4"/>
      <c r="B12680" s="4"/>
    </row>
    <row r="12681" spans="1:2" x14ac:dyDescent="0.4">
      <c r="A12681" s="4"/>
      <c r="B12681" s="4"/>
    </row>
    <row r="12682" spans="1:2" x14ac:dyDescent="0.4">
      <c r="A12682" s="4"/>
      <c r="B12682" s="4"/>
    </row>
    <row r="12683" spans="1:2" x14ac:dyDescent="0.4">
      <c r="A12683" s="4"/>
      <c r="B12683" s="4"/>
    </row>
    <row r="12684" spans="1:2" x14ac:dyDescent="0.4">
      <c r="A12684" s="4"/>
      <c r="B12684" s="4"/>
    </row>
    <row r="12685" spans="1:2" x14ac:dyDescent="0.4">
      <c r="A12685" s="4"/>
      <c r="B12685" s="4"/>
    </row>
    <row r="12686" spans="1:2" x14ac:dyDescent="0.4">
      <c r="A12686" s="4"/>
      <c r="B12686" s="4"/>
    </row>
    <row r="12687" spans="1:2" x14ac:dyDescent="0.4">
      <c r="A12687" s="4"/>
      <c r="B12687" s="4"/>
    </row>
    <row r="12688" spans="1:2" x14ac:dyDescent="0.4">
      <c r="A12688" s="4"/>
      <c r="B12688" s="4"/>
    </row>
    <row r="12689" spans="1:2" x14ac:dyDescent="0.4">
      <c r="A12689" s="4"/>
      <c r="B12689" s="4"/>
    </row>
    <row r="12690" spans="1:2" x14ac:dyDescent="0.4">
      <c r="A12690" s="4"/>
      <c r="B12690" s="4"/>
    </row>
    <row r="12691" spans="1:2" x14ac:dyDescent="0.4">
      <c r="A12691" s="4"/>
      <c r="B12691" s="4"/>
    </row>
    <row r="12692" spans="1:2" x14ac:dyDescent="0.4">
      <c r="A12692" s="4"/>
      <c r="B12692" s="4"/>
    </row>
    <row r="12693" spans="1:2" x14ac:dyDescent="0.4">
      <c r="A12693" s="4"/>
      <c r="B12693" s="4"/>
    </row>
    <row r="12694" spans="1:2" x14ac:dyDescent="0.4">
      <c r="A12694" s="4"/>
      <c r="B12694" s="4"/>
    </row>
    <row r="12695" spans="1:2" x14ac:dyDescent="0.4">
      <c r="A12695" s="4"/>
      <c r="B12695" s="4"/>
    </row>
    <row r="12696" spans="1:2" x14ac:dyDescent="0.4">
      <c r="A12696" s="4"/>
      <c r="B12696" s="4"/>
    </row>
    <row r="12697" spans="1:2" x14ac:dyDescent="0.4">
      <c r="A12697" s="4"/>
      <c r="B12697" s="4"/>
    </row>
    <row r="12698" spans="1:2" x14ac:dyDescent="0.4">
      <c r="A12698" s="4"/>
      <c r="B12698" s="4"/>
    </row>
    <row r="12699" spans="1:2" x14ac:dyDescent="0.4">
      <c r="A12699" s="4"/>
      <c r="B12699" s="4"/>
    </row>
    <row r="12700" spans="1:2" x14ac:dyDescent="0.4">
      <c r="A12700" s="4"/>
      <c r="B12700" s="4"/>
    </row>
    <row r="12701" spans="1:2" x14ac:dyDescent="0.4">
      <c r="A12701" s="4"/>
      <c r="B12701" s="4"/>
    </row>
    <row r="12702" spans="1:2" x14ac:dyDescent="0.4">
      <c r="A12702" s="4"/>
      <c r="B12702" s="4"/>
    </row>
    <row r="12703" spans="1:2" x14ac:dyDescent="0.4">
      <c r="A12703" s="4"/>
      <c r="B12703" s="4"/>
    </row>
    <row r="12704" spans="1:2" x14ac:dyDescent="0.4">
      <c r="A12704" s="4"/>
      <c r="B12704" s="4"/>
    </row>
    <row r="12705" spans="1:2" x14ac:dyDescent="0.4">
      <c r="A12705" s="4"/>
      <c r="B12705" s="4"/>
    </row>
    <row r="12706" spans="1:2" x14ac:dyDescent="0.4">
      <c r="A12706" s="4"/>
      <c r="B12706" s="4"/>
    </row>
    <row r="12707" spans="1:2" x14ac:dyDescent="0.4">
      <c r="A12707" s="4"/>
      <c r="B12707" s="4"/>
    </row>
    <row r="12708" spans="1:2" x14ac:dyDescent="0.4">
      <c r="A12708" s="4"/>
      <c r="B12708" s="4"/>
    </row>
    <row r="12709" spans="1:2" x14ac:dyDescent="0.4">
      <c r="A12709" s="4"/>
      <c r="B12709" s="4"/>
    </row>
    <row r="12710" spans="1:2" x14ac:dyDescent="0.4">
      <c r="A12710" s="4"/>
      <c r="B12710" s="4"/>
    </row>
    <row r="12711" spans="1:2" x14ac:dyDescent="0.4">
      <c r="A12711" s="4"/>
      <c r="B12711" s="4"/>
    </row>
    <row r="12712" spans="1:2" x14ac:dyDescent="0.4">
      <c r="A12712" s="4"/>
      <c r="B12712" s="4"/>
    </row>
    <row r="12713" spans="1:2" x14ac:dyDescent="0.4">
      <c r="A12713" s="4"/>
      <c r="B12713" s="4"/>
    </row>
    <row r="12714" spans="1:2" x14ac:dyDescent="0.4">
      <c r="A12714" s="4"/>
      <c r="B12714" s="4"/>
    </row>
    <row r="12715" spans="1:2" x14ac:dyDescent="0.4">
      <c r="A12715" s="4"/>
      <c r="B12715" s="4"/>
    </row>
    <row r="12716" spans="1:2" x14ac:dyDescent="0.4">
      <c r="A12716" s="4"/>
      <c r="B12716" s="4"/>
    </row>
    <row r="12717" spans="1:2" x14ac:dyDescent="0.4">
      <c r="A12717" s="4"/>
      <c r="B12717" s="4"/>
    </row>
    <row r="12718" spans="1:2" x14ac:dyDescent="0.4">
      <c r="A12718" s="4"/>
      <c r="B12718" s="4"/>
    </row>
    <row r="12719" spans="1:2" x14ac:dyDescent="0.4">
      <c r="A12719" s="4"/>
      <c r="B12719" s="4"/>
    </row>
    <row r="12720" spans="1:2" x14ac:dyDescent="0.4">
      <c r="A12720" s="4"/>
      <c r="B12720" s="4"/>
    </row>
    <row r="12721" spans="1:2" x14ac:dyDescent="0.4">
      <c r="A12721" s="4"/>
      <c r="B12721" s="4"/>
    </row>
    <row r="12722" spans="1:2" x14ac:dyDescent="0.4">
      <c r="A12722" s="4"/>
      <c r="B12722" s="4"/>
    </row>
    <row r="12723" spans="1:2" x14ac:dyDescent="0.4">
      <c r="A12723" s="4"/>
      <c r="B12723" s="4"/>
    </row>
    <row r="12724" spans="1:2" x14ac:dyDescent="0.4">
      <c r="A12724" s="4"/>
      <c r="B12724" s="4"/>
    </row>
    <row r="12725" spans="1:2" x14ac:dyDescent="0.4">
      <c r="A12725" s="4"/>
      <c r="B12725" s="4"/>
    </row>
    <row r="12726" spans="1:2" x14ac:dyDescent="0.4">
      <c r="A12726" s="4"/>
      <c r="B12726" s="4"/>
    </row>
    <row r="12727" spans="1:2" x14ac:dyDescent="0.4">
      <c r="A12727" s="4"/>
      <c r="B12727" s="4"/>
    </row>
    <row r="12728" spans="1:2" x14ac:dyDescent="0.4">
      <c r="A12728" s="4"/>
      <c r="B12728" s="4"/>
    </row>
    <row r="12729" spans="1:2" x14ac:dyDescent="0.4">
      <c r="A12729" s="4"/>
      <c r="B12729" s="4"/>
    </row>
    <row r="12730" spans="1:2" x14ac:dyDescent="0.4">
      <c r="A12730" s="4"/>
      <c r="B12730" s="4"/>
    </row>
    <row r="12731" spans="1:2" x14ac:dyDescent="0.4">
      <c r="A12731" s="4"/>
      <c r="B12731" s="4"/>
    </row>
    <row r="12732" spans="1:2" x14ac:dyDescent="0.4">
      <c r="A12732" s="4"/>
      <c r="B12732" s="4"/>
    </row>
    <row r="12733" spans="1:2" x14ac:dyDescent="0.4">
      <c r="A12733" s="4"/>
      <c r="B12733" s="4"/>
    </row>
    <row r="12734" spans="1:2" x14ac:dyDescent="0.4">
      <c r="A12734" s="4"/>
      <c r="B12734" s="4"/>
    </row>
    <row r="12735" spans="1:2" x14ac:dyDescent="0.4">
      <c r="A12735" s="4"/>
      <c r="B12735" s="4"/>
    </row>
    <row r="12736" spans="1:2" x14ac:dyDescent="0.4">
      <c r="A12736" s="4"/>
      <c r="B12736" s="4"/>
    </row>
    <row r="12737" spans="1:2" x14ac:dyDescent="0.4">
      <c r="A12737" s="4"/>
      <c r="B12737" s="4"/>
    </row>
    <row r="12738" spans="1:2" x14ac:dyDescent="0.4">
      <c r="A12738" s="4"/>
      <c r="B12738" s="4"/>
    </row>
    <row r="12739" spans="1:2" x14ac:dyDescent="0.4">
      <c r="A12739" s="4"/>
      <c r="B12739" s="4"/>
    </row>
    <row r="12740" spans="1:2" x14ac:dyDescent="0.4">
      <c r="A12740" s="4"/>
      <c r="B12740" s="4"/>
    </row>
    <row r="12741" spans="1:2" x14ac:dyDescent="0.4">
      <c r="A12741" s="4"/>
      <c r="B12741" s="4"/>
    </row>
    <row r="12742" spans="1:2" x14ac:dyDescent="0.4">
      <c r="A12742" s="4"/>
      <c r="B12742" s="4"/>
    </row>
    <row r="12743" spans="1:2" x14ac:dyDescent="0.4">
      <c r="A12743" s="4"/>
      <c r="B12743" s="4"/>
    </row>
    <row r="12744" spans="1:2" x14ac:dyDescent="0.4">
      <c r="A12744" s="4"/>
      <c r="B12744" s="4"/>
    </row>
    <row r="12745" spans="1:2" x14ac:dyDescent="0.4">
      <c r="A12745" s="4"/>
      <c r="B12745" s="4"/>
    </row>
    <row r="12746" spans="1:2" x14ac:dyDescent="0.4">
      <c r="A12746" s="4"/>
      <c r="B12746" s="4"/>
    </row>
    <row r="12747" spans="1:2" x14ac:dyDescent="0.4">
      <c r="A12747" s="4"/>
      <c r="B12747" s="4"/>
    </row>
    <row r="12748" spans="1:2" x14ac:dyDescent="0.4">
      <c r="A12748" s="4"/>
      <c r="B12748" s="4"/>
    </row>
    <row r="12749" spans="1:2" x14ac:dyDescent="0.4">
      <c r="A12749" s="4"/>
      <c r="B12749" s="4"/>
    </row>
    <row r="12750" spans="1:2" x14ac:dyDescent="0.4">
      <c r="A12750" s="4"/>
      <c r="B12750" s="4"/>
    </row>
    <row r="12751" spans="1:2" x14ac:dyDescent="0.4">
      <c r="A12751" s="4"/>
      <c r="B12751" s="4"/>
    </row>
    <row r="12752" spans="1:2" x14ac:dyDescent="0.4">
      <c r="A12752" s="4"/>
      <c r="B12752" s="4"/>
    </row>
    <row r="12753" spans="1:2" x14ac:dyDescent="0.4">
      <c r="A12753" s="4"/>
      <c r="B12753" s="4"/>
    </row>
    <row r="12754" spans="1:2" x14ac:dyDescent="0.4">
      <c r="A12754" s="4"/>
      <c r="B12754" s="4"/>
    </row>
    <row r="12755" spans="1:2" x14ac:dyDescent="0.4">
      <c r="A12755" s="4"/>
      <c r="B12755" s="4"/>
    </row>
    <row r="12756" spans="1:2" x14ac:dyDescent="0.4">
      <c r="A12756" s="4"/>
      <c r="B12756" s="4"/>
    </row>
    <row r="12757" spans="1:2" x14ac:dyDescent="0.4">
      <c r="A12757" s="4"/>
      <c r="B12757" s="4"/>
    </row>
    <row r="12758" spans="1:2" x14ac:dyDescent="0.4">
      <c r="A12758" s="4"/>
      <c r="B12758" s="4"/>
    </row>
    <row r="12759" spans="1:2" x14ac:dyDescent="0.4">
      <c r="A12759" s="4"/>
      <c r="B12759" s="4"/>
    </row>
    <row r="12760" spans="1:2" x14ac:dyDescent="0.4">
      <c r="A12760" s="4"/>
      <c r="B12760" s="4"/>
    </row>
    <row r="12761" spans="1:2" x14ac:dyDescent="0.4">
      <c r="A12761" s="4"/>
      <c r="B12761" s="4"/>
    </row>
    <row r="12762" spans="1:2" x14ac:dyDescent="0.4">
      <c r="A12762" s="4"/>
      <c r="B12762" s="4"/>
    </row>
    <row r="12763" spans="1:2" x14ac:dyDescent="0.4">
      <c r="A12763" s="4"/>
      <c r="B12763" s="4"/>
    </row>
    <row r="12764" spans="1:2" x14ac:dyDescent="0.4">
      <c r="A12764" s="4"/>
      <c r="B12764" s="4"/>
    </row>
    <row r="12765" spans="1:2" x14ac:dyDescent="0.4">
      <c r="A12765" s="4"/>
      <c r="B12765" s="4"/>
    </row>
    <row r="12766" spans="1:2" x14ac:dyDescent="0.4">
      <c r="A12766" s="4"/>
      <c r="B12766" s="4"/>
    </row>
    <row r="12767" spans="1:2" x14ac:dyDescent="0.4">
      <c r="A12767" s="4"/>
      <c r="B12767" s="4"/>
    </row>
    <row r="12768" spans="1:2" x14ac:dyDescent="0.4">
      <c r="A12768" s="4"/>
      <c r="B12768" s="4"/>
    </row>
    <row r="12769" spans="1:2" x14ac:dyDescent="0.4">
      <c r="A12769" s="4"/>
      <c r="B12769" s="4"/>
    </row>
    <row r="12770" spans="1:2" x14ac:dyDescent="0.4">
      <c r="A12770" s="4"/>
      <c r="B12770" s="4"/>
    </row>
    <row r="12771" spans="1:2" x14ac:dyDescent="0.4">
      <c r="A12771" s="4"/>
      <c r="B12771" s="4"/>
    </row>
    <row r="12772" spans="1:2" x14ac:dyDescent="0.4">
      <c r="A12772" s="4"/>
      <c r="B12772" s="4"/>
    </row>
    <row r="12773" spans="1:2" x14ac:dyDescent="0.4">
      <c r="A12773" s="4"/>
      <c r="B12773" s="4"/>
    </row>
    <row r="12774" spans="1:2" x14ac:dyDescent="0.4">
      <c r="A12774" s="4"/>
      <c r="B12774" s="4"/>
    </row>
    <row r="12775" spans="1:2" x14ac:dyDescent="0.4">
      <c r="A12775" s="4"/>
      <c r="B12775" s="4"/>
    </row>
    <row r="12776" spans="1:2" x14ac:dyDescent="0.4">
      <c r="A12776" s="4"/>
      <c r="B12776" s="4"/>
    </row>
    <row r="12777" spans="1:2" x14ac:dyDescent="0.4">
      <c r="A12777" s="4"/>
      <c r="B12777" s="4"/>
    </row>
    <row r="12778" spans="1:2" x14ac:dyDescent="0.4">
      <c r="A12778" s="4"/>
      <c r="B12778" s="4"/>
    </row>
    <row r="12779" spans="1:2" x14ac:dyDescent="0.4">
      <c r="A12779" s="4"/>
      <c r="B12779" s="4"/>
    </row>
    <row r="12780" spans="1:2" x14ac:dyDescent="0.4">
      <c r="A12780" s="4"/>
      <c r="B12780" s="4"/>
    </row>
    <row r="12781" spans="1:2" x14ac:dyDescent="0.4">
      <c r="A12781" s="4"/>
      <c r="B12781" s="4"/>
    </row>
    <row r="12782" spans="1:2" x14ac:dyDescent="0.4">
      <c r="A12782" s="4"/>
      <c r="B12782" s="4"/>
    </row>
    <row r="12783" spans="1:2" x14ac:dyDescent="0.4">
      <c r="A12783" s="4"/>
      <c r="B12783" s="4"/>
    </row>
    <row r="12784" spans="1:2" x14ac:dyDescent="0.4">
      <c r="A12784" s="4"/>
      <c r="B12784" s="4"/>
    </row>
    <row r="12785" spans="1:2" x14ac:dyDescent="0.4">
      <c r="A12785" s="4"/>
      <c r="B12785" s="4"/>
    </row>
    <row r="12786" spans="1:2" x14ac:dyDescent="0.4">
      <c r="A12786" s="4"/>
      <c r="B12786" s="4"/>
    </row>
    <row r="12787" spans="1:2" x14ac:dyDescent="0.4">
      <c r="A12787" s="4"/>
      <c r="B12787" s="4"/>
    </row>
    <row r="12788" spans="1:2" x14ac:dyDescent="0.4">
      <c r="A12788" s="4"/>
      <c r="B12788" s="4"/>
    </row>
    <row r="12789" spans="1:2" x14ac:dyDescent="0.4">
      <c r="A12789" s="4"/>
      <c r="B12789" s="4"/>
    </row>
    <row r="12790" spans="1:2" x14ac:dyDescent="0.4">
      <c r="A12790" s="4"/>
      <c r="B12790" s="4"/>
    </row>
    <row r="12791" spans="1:2" x14ac:dyDescent="0.4">
      <c r="A12791" s="4"/>
      <c r="B12791" s="4"/>
    </row>
    <row r="12792" spans="1:2" x14ac:dyDescent="0.4">
      <c r="A12792" s="4"/>
      <c r="B12792" s="4"/>
    </row>
    <row r="12793" spans="1:2" x14ac:dyDescent="0.4">
      <c r="A12793" s="4"/>
      <c r="B12793" s="4"/>
    </row>
    <row r="12794" spans="1:2" x14ac:dyDescent="0.4">
      <c r="A12794" s="4"/>
      <c r="B12794" s="4"/>
    </row>
    <row r="12795" spans="1:2" x14ac:dyDescent="0.4">
      <c r="A12795" s="4"/>
      <c r="B12795" s="4"/>
    </row>
    <row r="12796" spans="1:2" x14ac:dyDescent="0.4">
      <c r="A12796" s="4"/>
      <c r="B12796" s="4"/>
    </row>
    <row r="12797" spans="1:2" x14ac:dyDescent="0.4">
      <c r="A12797" s="4"/>
      <c r="B12797" s="4"/>
    </row>
    <row r="12798" spans="1:2" x14ac:dyDescent="0.4">
      <c r="A12798" s="4"/>
      <c r="B12798" s="4"/>
    </row>
    <row r="12799" spans="1:2" x14ac:dyDescent="0.4">
      <c r="A12799" s="4"/>
      <c r="B12799" s="4"/>
    </row>
    <row r="12800" spans="1:2" x14ac:dyDescent="0.4">
      <c r="A12800" s="4"/>
      <c r="B12800" s="4"/>
    </row>
    <row r="12801" spans="1:2" x14ac:dyDescent="0.4">
      <c r="A12801" s="4"/>
      <c r="B12801" s="4"/>
    </row>
    <row r="12802" spans="1:2" x14ac:dyDescent="0.4">
      <c r="A12802" s="4"/>
      <c r="B12802" s="4"/>
    </row>
    <row r="12803" spans="1:2" x14ac:dyDescent="0.4">
      <c r="A12803" s="4"/>
      <c r="B12803" s="4"/>
    </row>
    <row r="12804" spans="1:2" x14ac:dyDescent="0.4">
      <c r="A12804" s="4"/>
      <c r="B12804" s="4"/>
    </row>
    <row r="12805" spans="1:2" x14ac:dyDescent="0.4">
      <c r="A12805" s="4"/>
      <c r="B12805" s="4"/>
    </row>
    <row r="12806" spans="1:2" x14ac:dyDescent="0.4">
      <c r="A12806" s="4"/>
      <c r="B12806" s="4"/>
    </row>
    <row r="12807" spans="1:2" x14ac:dyDescent="0.4">
      <c r="A12807" s="4"/>
      <c r="B12807" s="4"/>
    </row>
    <row r="12808" spans="1:2" x14ac:dyDescent="0.4">
      <c r="A12808" s="4"/>
      <c r="B12808" s="4"/>
    </row>
    <row r="12809" spans="1:2" x14ac:dyDescent="0.4">
      <c r="A12809" s="4"/>
      <c r="B12809" s="4"/>
    </row>
    <row r="12810" spans="1:2" x14ac:dyDescent="0.4">
      <c r="A12810" s="4"/>
      <c r="B12810" s="4"/>
    </row>
    <row r="12811" spans="1:2" x14ac:dyDescent="0.4">
      <c r="A12811" s="4"/>
      <c r="B12811" s="4"/>
    </row>
    <row r="12812" spans="1:2" x14ac:dyDescent="0.4">
      <c r="A12812" s="4"/>
      <c r="B12812" s="4"/>
    </row>
    <row r="12813" spans="1:2" x14ac:dyDescent="0.4">
      <c r="A12813" s="4"/>
      <c r="B12813" s="4"/>
    </row>
    <row r="12814" spans="1:2" x14ac:dyDescent="0.4">
      <c r="A12814" s="4"/>
      <c r="B12814" s="4"/>
    </row>
    <row r="12815" spans="1:2" x14ac:dyDescent="0.4">
      <c r="A12815" s="4"/>
      <c r="B12815" s="4"/>
    </row>
    <row r="12816" spans="1:2" x14ac:dyDescent="0.4">
      <c r="A12816" s="4"/>
      <c r="B12816" s="4"/>
    </row>
    <row r="12817" spans="1:2" x14ac:dyDescent="0.4">
      <c r="A12817" s="4"/>
      <c r="B12817" s="4"/>
    </row>
    <row r="12818" spans="1:2" x14ac:dyDescent="0.4">
      <c r="A12818" s="4"/>
      <c r="B12818" s="4"/>
    </row>
    <row r="12819" spans="1:2" x14ac:dyDescent="0.4">
      <c r="A12819" s="4"/>
      <c r="B12819" s="4"/>
    </row>
    <row r="12820" spans="1:2" x14ac:dyDescent="0.4">
      <c r="A12820" s="4"/>
      <c r="B12820" s="4"/>
    </row>
    <row r="12821" spans="1:2" x14ac:dyDescent="0.4">
      <c r="A12821" s="4"/>
      <c r="B12821" s="4"/>
    </row>
    <row r="12822" spans="1:2" x14ac:dyDescent="0.4">
      <c r="A12822" s="4"/>
      <c r="B12822" s="4"/>
    </row>
    <row r="12823" spans="1:2" x14ac:dyDescent="0.4">
      <c r="A12823" s="4"/>
      <c r="B12823" s="4"/>
    </row>
    <row r="12824" spans="1:2" x14ac:dyDescent="0.4">
      <c r="A12824" s="4"/>
      <c r="B12824" s="4"/>
    </row>
    <row r="12825" spans="1:2" x14ac:dyDescent="0.4">
      <c r="A12825" s="4"/>
      <c r="B12825" s="4"/>
    </row>
    <row r="12826" spans="1:2" x14ac:dyDescent="0.4">
      <c r="A12826" s="4"/>
      <c r="B12826" s="4"/>
    </row>
    <row r="12827" spans="1:2" x14ac:dyDescent="0.4">
      <c r="A12827" s="4"/>
      <c r="B12827" s="4"/>
    </row>
    <row r="12828" spans="1:2" x14ac:dyDescent="0.4">
      <c r="A12828" s="4"/>
      <c r="B12828" s="4"/>
    </row>
    <row r="12829" spans="1:2" x14ac:dyDescent="0.4">
      <c r="A12829" s="4"/>
      <c r="B12829" s="4"/>
    </row>
    <row r="12830" spans="1:2" x14ac:dyDescent="0.4">
      <c r="A12830" s="4"/>
      <c r="B12830" s="4"/>
    </row>
    <row r="12831" spans="1:2" x14ac:dyDescent="0.4">
      <c r="A12831" s="4"/>
      <c r="B12831" s="4"/>
    </row>
    <row r="12832" spans="1:2" x14ac:dyDescent="0.4">
      <c r="A12832" s="4"/>
      <c r="B12832" s="4"/>
    </row>
    <row r="12833" spans="1:2" x14ac:dyDescent="0.4">
      <c r="A12833" s="4"/>
      <c r="B12833" s="4"/>
    </row>
    <row r="12834" spans="1:2" x14ac:dyDescent="0.4">
      <c r="A12834" s="4"/>
      <c r="B12834" s="4"/>
    </row>
    <row r="12835" spans="1:2" x14ac:dyDescent="0.4">
      <c r="A12835" s="4"/>
      <c r="B12835" s="4"/>
    </row>
    <row r="12836" spans="1:2" x14ac:dyDescent="0.4">
      <c r="A12836" s="4"/>
      <c r="B12836" s="4"/>
    </row>
    <row r="12837" spans="1:2" x14ac:dyDescent="0.4">
      <c r="A12837" s="4"/>
      <c r="B12837" s="4"/>
    </row>
    <row r="12838" spans="1:2" x14ac:dyDescent="0.4">
      <c r="A12838" s="4"/>
      <c r="B12838" s="4"/>
    </row>
    <row r="12839" spans="1:2" x14ac:dyDescent="0.4">
      <c r="A12839" s="4"/>
      <c r="B12839" s="4"/>
    </row>
    <row r="12840" spans="1:2" x14ac:dyDescent="0.4">
      <c r="A12840" s="4"/>
      <c r="B12840" s="4"/>
    </row>
    <row r="12841" spans="1:2" x14ac:dyDescent="0.4">
      <c r="A12841" s="4"/>
      <c r="B12841" s="4"/>
    </row>
    <row r="12842" spans="1:2" x14ac:dyDescent="0.4">
      <c r="A12842" s="4"/>
      <c r="B12842" s="4"/>
    </row>
    <row r="12843" spans="1:2" x14ac:dyDescent="0.4">
      <c r="A12843" s="4"/>
      <c r="B12843" s="4"/>
    </row>
    <row r="12844" spans="1:2" x14ac:dyDescent="0.4">
      <c r="A12844" s="4"/>
      <c r="B12844" s="4"/>
    </row>
    <row r="12845" spans="1:2" x14ac:dyDescent="0.4">
      <c r="A12845" s="4"/>
      <c r="B12845" s="4"/>
    </row>
    <row r="12846" spans="1:2" x14ac:dyDescent="0.4">
      <c r="A12846" s="4"/>
      <c r="B12846" s="4"/>
    </row>
    <row r="12847" spans="1:2" x14ac:dyDescent="0.4">
      <c r="A12847" s="4"/>
      <c r="B12847" s="4"/>
    </row>
    <row r="12848" spans="1:2" x14ac:dyDescent="0.4">
      <c r="A12848" s="4"/>
      <c r="B12848" s="4"/>
    </row>
    <row r="12849" spans="1:2" x14ac:dyDescent="0.4">
      <c r="A12849" s="4"/>
      <c r="B12849" s="4"/>
    </row>
    <row r="12850" spans="1:2" x14ac:dyDescent="0.4">
      <c r="A12850" s="4"/>
      <c r="B12850" s="4"/>
    </row>
    <row r="12851" spans="1:2" x14ac:dyDescent="0.4">
      <c r="A12851" s="4"/>
      <c r="B12851" s="4"/>
    </row>
    <row r="12852" spans="1:2" x14ac:dyDescent="0.4">
      <c r="A12852" s="4"/>
      <c r="B12852" s="4"/>
    </row>
    <row r="12853" spans="1:2" x14ac:dyDescent="0.4">
      <c r="A12853" s="4"/>
      <c r="B12853" s="4"/>
    </row>
    <row r="12854" spans="1:2" x14ac:dyDescent="0.4">
      <c r="A12854" s="4"/>
      <c r="B12854" s="4"/>
    </row>
    <row r="12855" spans="1:2" x14ac:dyDescent="0.4">
      <c r="A12855" s="4"/>
      <c r="B12855" s="4"/>
    </row>
    <row r="12856" spans="1:2" x14ac:dyDescent="0.4">
      <c r="A12856" s="4"/>
      <c r="B12856" s="4"/>
    </row>
    <row r="12857" spans="1:2" x14ac:dyDescent="0.4">
      <c r="A12857" s="4"/>
      <c r="B12857" s="4"/>
    </row>
    <row r="12858" spans="1:2" x14ac:dyDescent="0.4">
      <c r="A12858" s="4"/>
      <c r="B12858" s="4"/>
    </row>
    <row r="12859" spans="1:2" x14ac:dyDescent="0.4">
      <c r="A12859" s="4"/>
      <c r="B12859" s="4"/>
    </row>
    <row r="12860" spans="1:2" x14ac:dyDescent="0.4">
      <c r="A12860" s="4"/>
      <c r="B12860" s="4"/>
    </row>
    <row r="12861" spans="1:2" x14ac:dyDescent="0.4">
      <c r="A12861" s="4"/>
      <c r="B12861" s="4"/>
    </row>
    <row r="12862" spans="1:2" x14ac:dyDescent="0.4">
      <c r="A12862" s="4"/>
      <c r="B12862" s="4"/>
    </row>
    <row r="12863" spans="1:2" x14ac:dyDescent="0.4">
      <c r="A12863" s="4"/>
      <c r="B12863" s="4"/>
    </row>
    <row r="12864" spans="1:2" x14ac:dyDescent="0.4">
      <c r="A12864" s="4"/>
      <c r="B12864" s="4"/>
    </row>
    <row r="12865" spans="1:2" x14ac:dyDescent="0.4">
      <c r="A12865" s="4"/>
      <c r="B12865" s="4"/>
    </row>
    <row r="12866" spans="1:2" x14ac:dyDescent="0.4">
      <c r="A12866" s="4"/>
      <c r="B12866" s="4"/>
    </row>
    <row r="12867" spans="1:2" x14ac:dyDescent="0.4">
      <c r="A12867" s="4"/>
      <c r="B12867" s="4"/>
    </row>
    <row r="12868" spans="1:2" x14ac:dyDescent="0.4">
      <c r="A12868" s="4"/>
      <c r="B12868" s="4"/>
    </row>
    <row r="12869" spans="1:2" x14ac:dyDescent="0.4">
      <c r="A12869" s="4"/>
      <c r="B12869" s="4"/>
    </row>
    <row r="12870" spans="1:2" x14ac:dyDescent="0.4">
      <c r="A12870" s="4"/>
      <c r="B12870" s="4"/>
    </row>
    <row r="12871" spans="1:2" x14ac:dyDescent="0.4">
      <c r="A12871" s="4"/>
      <c r="B12871" s="4"/>
    </row>
    <row r="12872" spans="1:2" x14ac:dyDescent="0.4">
      <c r="A12872" s="4"/>
      <c r="B12872" s="4"/>
    </row>
    <row r="12873" spans="1:2" x14ac:dyDescent="0.4">
      <c r="A12873" s="4"/>
      <c r="B12873" s="4"/>
    </row>
    <row r="12874" spans="1:2" x14ac:dyDescent="0.4">
      <c r="A12874" s="4"/>
      <c r="B12874" s="4"/>
    </row>
    <row r="12875" spans="1:2" x14ac:dyDescent="0.4">
      <c r="A12875" s="4"/>
      <c r="B12875" s="4"/>
    </row>
    <row r="12876" spans="1:2" x14ac:dyDescent="0.4">
      <c r="A12876" s="4"/>
      <c r="B12876" s="4"/>
    </row>
    <row r="12877" spans="1:2" x14ac:dyDescent="0.4">
      <c r="A12877" s="4"/>
      <c r="B12877" s="4"/>
    </row>
    <row r="12878" spans="1:2" x14ac:dyDescent="0.4">
      <c r="A12878" s="4"/>
      <c r="B12878" s="4"/>
    </row>
    <row r="12879" spans="1:2" x14ac:dyDescent="0.4">
      <c r="A12879" s="4"/>
      <c r="B12879" s="4"/>
    </row>
    <row r="12880" spans="1:2" x14ac:dyDescent="0.4">
      <c r="A12880" s="4"/>
      <c r="B12880" s="4"/>
    </row>
    <row r="12881" spans="1:2" x14ac:dyDescent="0.4">
      <c r="A12881" s="4"/>
      <c r="B12881" s="4"/>
    </row>
    <row r="12882" spans="1:2" x14ac:dyDescent="0.4">
      <c r="A12882" s="4"/>
      <c r="B12882" s="4"/>
    </row>
    <row r="12883" spans="1:2" x14ac:dyDescent="0.4">
      <c r="A12883" s="4"/>
      <c r="B12883" s="4"/>
    </row>
    <row r="12884" spans="1:2" x14ac:dyDescent="0.4">
      <c r="A12884" s="4"/>
      <c r="B12884" s="4"/>
    </row>
    <row r="12885" spans="1:2" x14ac:dyDescent="0.4">
      <c r="A12885" s="4"/>
      <c r="B12885" s="4"/>
    </row>
    <row r="12886" spans="1:2" x14ac:dyDescent="0.4">
      <c r="A12886" s="4"/>
      <c r="B12886" s="4"/>
    </row>
    <row r="12887" spans="1:2" x14ac:dyDescent="0.4">
      <c r="A12887" s="4"/>
      <c r="B12887" s="4"/>
    </row>
    <row r="12888" spans="1:2" x14ac:dyDescent="0.4">
      <c r="A12888" s="4"/>
      <c r="B12888" s="4"/>
    </row>
    <row r="12889" spans="1:2" x14ac:dyDescent="0.4">
      <c r="A12889" s="4"/>
      <c r="B12889" s="4"/>
    </row>
    <row r="12890" spans="1:2" x14ac:dyDescent="0.4">
      <c r="A12890" s="4"/>
      <c r="B12890" s="4"/>
    </row>
    <row r="12891" spans="1:2" x14ac:dyDescent="0.4">
      <c r="A12891" s="4"/>
      <c r="B12891" s="4"/>
    </row>
    <row r="12892" spans="1:2" x14ac:dyDescent="0.4">
      <c r="A12892" s="4"/>
      <c r="B12892" s="4"/>
    </row>
    <row r="12893" spans="1:2" x14ac:dyDescent="0.4">
      <c r="A12893" s="4"/>
      <c r="B12893" s="4"/>
    </row>
    <row r="12894" spans="1:2" x14ac:dyDescent="0.4">
      <c r="A12894" s="4"/>
      <c r="B12894" s="4"/>
    </row>
    <row r="12895" spans="1:2" x14ac:dyDescent="0.4">
      <c r="A12895" s="4"/>
      <c r="B12895" s="4"/>
    </row>
    <row r="12896" spans="1:2" x14ac:dyDescent="0.4">
      <c r="A12896" s="4"/>
      <c r="B12896" s="4"/>
    </row>
    <row r="12897" spans="1:2" x14ac:dyDescent="0.4">
      <c r="A12897" s="4"/>
      <c r="B12897" s="4"/>
    </row>
    <row r="12898" spans="1:2" x14ac:dyDescent="0.4">
      <c r="A12898" s="4"/>
      <c r="B12898" s="4"/>
    </row>
    <row r="12899" spans="1:2" x14ac:dyDescent="0.4">
      <c r="A12899" s="4"/>
      <c r="B12899" s="4"/>
    </row>
    <row r="12900" spans="1:2" x14ac:dyDescent="0.4">
      <c r="A12900" s="4"/>
      <c r="B12900" s="4"/>
    </row>
    <row r="12901" spans="1:2" x14ac:dyDescent="0.4">
      <c r="A12901" s="4"/>
      <c r="B12901" s="4"/>
    </row>
    <row r="12902" spans="1:2" x14ac:dyDescent="0.4">
      <c r="A12902" s="4"/>
      <c r="B12902" s="4"/>
    </row>
    <row r="12903" spans="1:2" x14ac:dyDescent="0.4">
      <c r="A12903" s="4"/>
      <c r="B12903" s="4"/>
    </row>
    <row r="12904" spans="1:2" x14ac:dyDescent="0.4">
      <c r="A12904" s="4"/>
      <c r="B12904" s="4"/>
    </row>
    <row r="12905" spans="1:2" x14ac:dyDescent="0.4">
      <c r="A12905" s="4"/>
      <c r="B12905" s="4"/>
    </row>
    <row r="12906" spans="1:2" x14ac:dyDescent="0.4">
      <c r="A12906" s="4"/>
      <c r="B12906" s="4"/>
    </row>
    <row r="12907" spans="1:2" x14ac:dyDescent="0.4">
      <c r="A12907" s="4"/>
      <c r="B12907" s="4"/>
    </row>
    <row r="12908" spans="1:2" x14ac:dyDescent="0.4">
      <c r="A12908" s="4"/>
      <c r="B12908" s="4"/>
    </row>
    <row r="12909" spans="1:2" x14ac:dyDescent="0.4">
      <c r="A12909" s="4"/>
      <c r="B12909" s="4"/>
    </row>
    <row r="12910" spans="1:2" x14ac:dyDescent="0.4">
      <c r="A12910" s="4"/>
      <c r="B12910" s="4"/>
    </row>
    <row r="12911" spans="1:2" x14ac:dyDescent="0.4">
      <c r="A12911" s="4"/>
      <c r="B12911" s="4"/>
    </row>
    <row r="12912" spans="1:2" x14ac:dyDescent="0.4">
      <c r="A12912" s="4"/>
      <c r="B12912" s="4"/>
    </row>
    <row r="12913" spans="1:2" x14ac:dyDescent="0.4">
      <c r="A12913" s="4"/>
      <c r="B12913" s="4"/>
    </row>
    <row r="12914" spans="1:2" x14ac:dyDescent="0.4">
      <c r="A12914" s="4"/>
      <c r="B12914" s="4"/>
    </row>
    <row r="12915" spans="1:2" x14ac:dyDescent="0.4">
      <c r="A12915" s="4"/>
      <c r="B12915" s="4"/>
    </row>
    <row r="12916" spans="1:2" x14ac:dyDescent="0.4">
      <c r="A12916" s="4"/>
      <c r="B12916" s="4"/>
    </row>
    <row r="12917" spans="1:2" x14ac:dyDescent="0.4">
      <c r="A12917" s="4"/>
      <c r="B12917" s="4"/>
    </row>
    <row r="12918" spans="1:2" x14ac:dyDescent="0.4">
      <c r="A12918" s="4"/>
      <c r="B12918" s="4"/>
    </row>
    <row r="12919" spans="1:2" x14ac:dyDescent="0.4">
      <c r="A12919" s="4"/>
      <c r="B12919" s="4"/>
    </row>
    <row r="12920" spans="1:2" x14ac:dyDescent="0.4">
      <c r="A12920" s="4"/>
      <c r="B12920" s="4"/>
    </row>
    <row r="12921" spans="1:2" x14ac:dyDescent="0.4">
      <c r="A12921" s="4"/>
      <c r="B12921" s="4"/>
    </row>
    <row r="12922" spans="1:2" x14ac:dyDescent="0.4">
      <c r="A12922" s="4"/>
      <c r="B12922" s="4"/>
    </row>
    <row r="12923" spans="1:2" x14ac:dyDescent="0.4">
      <c r="A12923" s="4"/>
      <c r="B12923" s="4"/>
    </row>
    <row r="12924" spans="1:2" x14ac:dyDescent="0.4">
      <c r="A12924" s="4"/>
      <c r="B12924" s="4"/>
    </row>
    <row r="12925" spans="1:2" x14ac:dyDescent="0.4">
      <c r="A12925" s="4"/>
      <c r="B12925" s="4"/>
    </row>
    <row r="12926" spans="1:2" x14ac:dyDescent="0.4">
      <c r="A12926" s="4"/>
      <c r="B12926" s="4"/>
    </row>
    <row r="12927" spans="1:2" x14ac:dyDescent="0.4">
      <c r="A12927" s="4"/>
      <c r="B12927" s="4"/>
    </row>
    <row r="12928" spans="1:2" x14ac:dyDescent="0.4">
      <c r="A12928" s="4"/>
      <c r="B12928" s="4"/>
    </row>
    <row r="12929" spans="1:2" x14ac:dyDescent="0.4">
      <c r="A12929" s="4"/>
      <c r="B12929" s="4"/>
    </row>
    <row r="12930" spans="1:2" x14ac:dyDescent="0.4">
      <c r="A12930" s="4"/>
      <c r="B12930" s="4"/>
    </row>
    <row r="12931" spans="1:2" x14ac:dyDescent="0.4">
      <c r="A12931" s="4"/>
      <c r="B12931" s="4"/>
    </row>
    <row r="12932" spans="1:2" x14ac:dyDescent="0.4">
      <c r="A12932" s="4"/>
      <c r="B12932" s="4"/>
    </row>
    <row r="12933" spans="1:2" x14ac:dyDescent="0.4">
      <c r="A12933" s="4"/>
      <c r="B12933" s="4"/>
    </row>
    <row r="12934" spans="1:2" x14ac:dyDescent="0.4">
      <c r="A12934" s="4"/>
      <c r="B12934" s="4"/>
    </row>
    <row r="12935" spans="1:2" x14ac:dyDescent="0.4">
      <c r="A12935" s="4"/>
      <c r="B12935" s="4"/>
    </row>
    <row r="12936" spans="1:2" x14ac:dyDescent="0.4">
      <c r="A12936" s="4"/>
      <c r="B12936" s="4"/>
    </row>
    <row r="12937" spans="1:2" x14ac:dyDescent="0.4">
      <c r="A12937" s="4"/>
      <c r="B12937" s="4"/>
    </row>
    <row r="12938" spans="1:2" x14ac:dyDescent="0.4">
      <c r="A12938" s="4"/>
      <c r="B12938" s="4"/>
    </row>
    <row r="12939" spans="1:2" x14ac:dyDescent="0.4">
      <c r="A12939" s="4"/>
      <c r="B12939" s="4"/>
    </row>
    <row r="12940" spans="1:2" x14ac:dyDescent="0.4">
      <c r="A12940" s="4"/>
      <c r="B12940" s="4"/>
    </row>
    <row r="12941" spans="1:2" x14ac:dyDescent="0.4">
      <c r="A12941" s="4"/>
      <c r="B12941" s="4"/>
    </row>
    <row r="12942" spans="1:2" x14ac:dyDescent="0.4">
      <c r="A12942" s="4"/>
      <c r="B12942" s="4"/>
    </row>
    <row r="12943" spans="1:2" x14ac:dyDescent="0.4">
      <c r="A12943" s="4"/>
      <c r="B12943" s="4"/>
    </row>
    <row r="12944" spans="1:2" x14ac:dyDescent="0.4">
      <c r="A12944" s="4"/>
      <c r="B12944" s="4"/>
    </row>
    <row r="12945" spans="1:2" x14ac:dyDescent="0.4">
      <c r="A12945" s="4"/>
      <c r="B12945" s="4"/>
    </row>
    <row r="12946" spans="1:2" x14ac:dyDescent="0.4">
      <c r="A12946" s="4"/>
      <c r="B12946" s="4"/>
    </row>
    <row r="12947" spans="1:2" x14ac:dyDescent="0.4">
      <c r="A12947" s="4"/>
      <c r="B12947" s="4"/>
    </row>
    <row r="12948" spans="1:2" x14ac:dyDescent="0.4">
      <c r="A12948" s="4"/>
      <c r="B12948" s="4"/>
    </row>
    <row r="12949" spans="1:2" x14ac:dyDescent="0.4">
      <c r="A12949" s="4"/>
      <c r="B12949" s="4"/>
    </row>
    <row r="12950" spans="1:2" x14ac:dyDescent="0.4">
      <c r="A12950" s="4"/>
      <c r="B12950" s="4"/>
    </row>
    <row r="12951" spans="1:2" x14ac:dyDescent="0.4">
      <c r="A12951" s="4"/>
      <c r="B12951" s="4"/>
    </row>
    <row r="12952" spans="1:2" x14ac:dyDescent="0.4">
      <c r="A12952" s="4"/>
      <c r="B12952" s="4"/>
    </row>
    <row r="12953" spans="1:2" x14ac:dyDescent="0.4">
      <c r="A12953" s="4"/>
      <c r="B12953" s="4"/>
    </row>
    <row r="12954" spans="1:2" x14ac:dyDescent="0.4">
      <c r="A12954" s="4"/>
      <c r="B12954" s="4"/>
    </row>
    <row r="12955" spans="1:2" x14ac:dyDescent="0.4">
      <c r="A12955" s="4"/>
      <c r="B12955" s="4"/>
    </row>
    <row r="12956" spans="1:2" x14ac:dyDescent="0.4">
      <c r="A12956" s="4"/>
      <c r="B12956" s="4"/>
    </row>
    <row r="12957" spans="1:2" x14ac:dyDescent="0.4">
      <c r="A12957" s="4"/>
      <c r="B12957" s="4"/>
    </row>
    <row r="12958" spans="1:2" x14ac:dyDescent="0.4">
      <c r="A12958" s="4"/>
      <c r="B12958" s="4"/>
    </row>
    <row r="12959" spans="1:2" x14ac:dyDescent="0.4">
      <c r="A12959" s="4"/>
      <c r="B12959" s="4"/>
    </row>
    <row r="12960" spans="1:2" x14ac:dyDescent="0.4">
      <c r="A12960" s="4"/>
      <c r="B12960" s="4"/>
    </row>
    <row r="12961" spans="1:2" x14ac:dyDescent="0.4">
      <c r="A12961" s="4"/>
      <c r="B12961" s="4"/>
    </row>
    <row r="12962" spans="1:2" x14ac:dyDescent="0.4">
      <c r="A12962" s="4"/>
      <c r="B12962" s="4"/>
    </row>
    <row r="12963" spans="1:2" x14ac:dyDescent="0.4">
      <c r="A12963" s="4"/>
      <c r="B12963" s="4"/>
    </row>
    <row r="12964" spans="1:2" x14ac:dyDescent="0.4">
      <c r="A12964" s="4"/>
      <c r="B12964" s="4"/>
    </row>
    <row r="12965" spans="1:2" x14ac:dyDescent="0.4">
      <c r="A12965" s="4"/>
      <c r="B12965" s="4"/>
    </row>
    <row r="12966" spans="1:2" x14ac:dyDescent="0.4">
      <c r="A12966" s="4"/>
      <c r="B12966" s="4"/>
    </row>
    <row r="12967" spans="1:2" x14ac:dyDescent="0.4">
      <c r="A12967" s="4"/>
      <c r="B12967" s="4"/>
    </row>
    <row r="12968" spans="1:2" x14ac:dyDescent="0.4">
      <c r="A12968" s="4"/>
      <c r="B12968" s="4"/>
    </row>
    <row r="12969" spans="1:2" x14ac:dyDescent="0.4">
      <c r="A12969" s="4"/>
      <c r="B12969" s="4"/>
    </row>
    <row r="12970" spans="1:2" x14ac:dyDescent="0.4">
      <c r="A12970" s="4"/>
      <c r="B12970" s="4"/>
    </row>
    <row r="12971" spans="1:2" x14ac:dyDescent="0.4">
      <c r="A12971" s="4"/>
      <c r="B12971" s="4"/>
    </row>
    <row r="12972" spans="1:2" x14ac:dyDescent="0.4">
      <c r="A12972" s="4"/>
      <c r="B12972" s="4"/>
    </row>
    <row r="12973" spans="1:2" x14ac:dyDescent="0.4">
      <c r="A12973" s="4"/>
      <c r="B12973" s="4"/>
    </row>
    <row r="12974" spans="1:2" x14ac:dyDescent="0.4">
      <c r="A12974" s="4"/>
      <c r="B12974" s="4"/>
    </row>
    <row r="12975" spans="1:2" x14ac:dyDescent="0.4">
      <c r="A12975" s="4"/>
      <c r="B12975" s="4"/>
    </row>
    <row r="12976" spans="1:2" x14ac:dyDescent="0.4">
      <c r="A12976" s="4"/>
      <c r="B12976" s="4"/>
    </row>
    <row r="12977" spans="1:2" x14ac:dyDescent="0.4">
      <c r="A12977" s="4"/>
      <c r="B12977" s="4"/>
    </row>
    <row r="12978" spans="1:2" x14ac:dyDescent="0.4">
      <c r="A12978" s="4"/>
      <c r="B12978" s="4"/>
    </row>
    <row r="12979" spans="1:2" x14ac:dyDescent="0.4">
      <c r="A12979" s="4"/>
      <c r="B12979" s="4"/>
    </row>
    <row r="12980" spans="1:2" x14ac:dyDescent="0.4">
      <c r="A12980" s="4"/>
      <c r="B12980" s="4"/>
    </row>
    <row r="12981" spans="1:2" x14ac:dyDescent="0.4">
      <c r="A12981" s="4"/>
      <c r="B12981" s="4"/>
    </row>
    <row r="12982" spans="1:2" x14ac:dyDescent="0.4">
      <c r="A12982" s="4"/>
      <c r="B12982" s="4"/>
    </row>
    <row r="12983" spans="1:2" x14ac:dyDescent="0.4">
      <c r="A12983" s="4"/>
      <c r="B12983" s="4"/>
    </row>
    <row r="12984" spans="1:2" x14ac:dyDescent="0.4">
      <c r="A12984" s="4"/>
      <c r="B12984" s="4"/>
    </row>
    <row r="12985" spans="1:2" x14ac:dyDescent="0.4">
      <c r="A12985" s="4"/>
      <c r="B12985" s="4"/>
    </row>
    <row r="12986" spans="1:2" x14ac:dyDescent="0.4">
      <c r="A12986" s="4"/>
      <c r="B12986" s="4"/>
    </row>
    <row r="12987" spans="1:2" x14ac:dyDescent="0.4">
      <c r="A12987" s="4"/>
      <c r="B12987" s="4"/>
    </row>
    <row r="12988" spans="1:2" x14ac:dyDescent="0.4">
      <c r="A12988" s="4"/>
      <c r="B12988" s="4"/>
    </row>
    <row r="12989" spans="1:2" x14ac:dyDescent="0.4">
      <c r="A12989" s="4"/>
      <c r="B12989" s="4"/>
    </row>
    <row r="12990" spans="1:2" x14ac:dyDescent="0.4">
      <c r="A12990" s="4"/>
      <c r="B12990" s="4"/>
    </row>
    <row r="12991" spans="1:2" x14ac:dyDescent="0.4">
      <c r="A12991" s="4"/>
      <c r="B12991" s="4"/>
    </row>
    <row r="12992" spans="1:2" x14ac:dyDescent="0.4">
      <c r="A12992" s="4"/>
      <c r="B12992" s="4"/>
    </row>
    <row r="12993" spans="1:2" x14ac:dyDescent="0.4">
      <c r="A12993" s="4"/>
      <c r="B12993" s="4"/>
    </row>
    <row r="12994" spans="1:2" x14ac:dyDescent="0.4">
      <c r="A12994" s="4"/>
      <c r="B12994" s="4"/>
    </row>
    <row r="12995" spans="1:2" x14ac:dyDescent="0.4">
      <c r="A12995" s="4"/>
      <c r="B12995" s="4"/>
    </row>
    <row r="12996" spans="1:2" x14ac:dyDescent="0.4">
      <c r="A12996" s="4"/>
      <c r="B12996" s="4"/>
    </row>
    <row r="12997" spans="1:2" x14ac:dyDescent="0.4">
      <c r="A12997" s="4"/>
      <c r="B12997" s="4"/>
    </row>
    <row r="12998" spans="1:2" x14ac:dyDescent="0.4">
      <c r="A12998" s="4"/>
      <c r="B12998" s="4"/>
    </row>
    <row r="12999" spans="1:2" x14ac:dyDescent="0.4">
      <c r="A12999" s="4"/>
      <c r="B12999" s="4"/>
    </row>
    <row r="13000" spans="1:2" x14ac:dyDescent="0.4">
      <c r="A13000" s="4"/>
      <c r="B13000" s="4"/>
    </row>
    <row r="13001" spans="1:2" x14ac:dyDescent="0.4">
      <c r="A13001" s="4"/>
      <c r="B13001" s="4"/>
    </row>
    <row r="13002" spans="1:2" x14ac:dyDescent="0.4">
      <c r="A13002" s="4"/>
      <c r="B13002" s="4"/>
    </row>
    <row r="13003" spans="1:2" x14ac:dyDescent="0.4">
      <c r="A13003" s="4"/>
      <c r="B13003" s="4"/>
    </row>
    <row r="13004" spans="1:2" x14ac:dyDescent="0.4">
      <c r="A13004" s="4"/>
      <c r="B13004" s="4"/>
    </row>
    <row r="13005" spans="1:2" x14ac:dyDescent="0.4">
      <c r="A13005" s="4"/>
      <c r="B13005" s="4"/>
    </row>
    <row r="13006" spans="1:2" x14ac:dyDescent="0.4">
      <c r="A13006" s="4"/>
      <c r="B13006" s="4"/>
    </row>
    <row r="13007" spans="1:2" x14ac:dyDescent="0.4">
      <c r="A13007" s="4"/>
      <c r="B13007" s="4"/>
    </row>
    <row r="13008" spans="1:2" x14ac:dyDescent="0.4">
      <c r="A13008" s="4"/>
      <c r="B13008" s="4"/>
    </row>
    <row r="13009" spans="1:2" x14ac:dyDescent="0.4">
      <c r="A13009" s="4"/>
      <c r="B13009" s="4"/>
    </row>
    <row r="13010" spans="1:2" x14ac:dyDescent="0.4">
      <c r="A13010" s="4"/>
      <c r="B13010" s="4"/>
    </row>
    <row r="13011" spans="1:2" x14ac:dyDescent="0.4">
      <c r="A13011" s="4"/>
      <c r="B13011" s="4"/>
    </row>
    <row r="13012" spans="1:2" x14ac:dyDescent="0.4">
      <c r="A13012" s="4"/>
      <c r="B13012" s="4"/>
    </row>
    <row r="13013" spans="1:2" x14ac:dyDescent="0.4">
      <c r="A13013" s="4"/>
      <c r="B13013" s="4"/>
    </row>
    <row r="13014" spans="1:2" x14ac:dyDescent="0.4">
      <c r="A13014" s="4"/>
      <c r="B13014" s="4"/>
    </row>
    <row r="13015" spans="1:2" x14ac:dyDescent="0.4">
      <c r="A13015" s="4"/>
      <c r="B13015" s="4"/>
    </row>
    <row r="13016" spans="1:2" x14ac:dyDescent="0.4">
      <c r="A13016" s="4"/>
      <c r="B13016" s="4"/>
    </row>
    <row r="13017" spans="1:2" x14ac:dyDescent="0.4">
      <c r="A13017" s="4"/>
      <c r="B13017" s="4"/>
    </row>
    <row r="13018" spans="1:2" x14ac:dyDescent="0.4">
      <c r="A13018" s="4"/>
      <c r="B13018" s="4"/>
    </row>
    <row r="13019" spans="1:2" x14ac:dyDescent="0.4">
      <c r="A13019" s="4"/>
      <c r="B13019" s="4"/>
    </row>
    <row r="13020" spans="1:2" x14ac:dyDescent="0.4">
      <c r="A13020" s="4"/>
      <c r="B13020" s="4"/>
    </row>
    <row r="13021" spans="1:2" x14ac:dyDescent="0.4">
      <c r="A13021" s="4"/>
      <c r="B13021" s="4"/>
    </row>
    <row r="13022" spans="1:2" x14ac:dyDescent="0.4">
      <c r="A13022" s="4"/>
      <c r="B13022" s="4"/>
    </row>
    <row r="13023" spans="1:2" x14ac:dyDescent="0.4">
      <c r="A13023" s="4"/>
      <c r="B13023" s="4"/>
    </row>
    <row r="13024" spans="1:2" x14ac:dyDescent="0.4">
      <c r="A13024" s="4"/>
      <c r="B13024" s="4"/>
    </row>
    <row r="13025" spans="1:2" x14ac:dyDescent="0.4">
      <c r="A13025" s="4"/>
      <c r="B13025" s="4"/>
    </row>
    <row r="13026" spans="1:2" x14ac:dyDescent="0.4">
      <c r="A13026" s="4"/>
      <c r="B13026" s="4"/>
    </row>
    <row r="13027" spans="1:2" x14ac:dyDescent="0.4">
      <c r="A13027" s="4"/>
      <c r="B13027" s="4"/>
    </row>
    <row r="13028" spans="1:2" x14ac:dyDescent="0.4">
      <c r="A13028" s="4"/>
      <c r="B13028" s="4"/>
    </row>
    <row r="13029" spans="1:2" x14ac:dyDescent="0.4">
      <c r="A13029" s="4"/>
      <c r="B13029" s="4"/>
    </row>
    <row r="13030" spans="1:2" x14ac:dyDescent="0.4">
      <c r="A13030" s="4"/>
      <c r="B13030" s="4"/>
    </row>
    <row r="13031" spans="1:2" x14ac:dyDescent="0.4">
      <c r="A13031" s="4"/>
      <c r="B13031" s="4"/>
    </row>
    <row r="13032" spans="1:2" x14ac:dyDescent="0.4">
      <c r="A13032" s="4"/>
      <c r="B13032" s="4"/>
    </row>
    <row r="13033" spans="1:2" x14ac:dyDescent="0.4">
      <c r="A13033" s="4"/>
      <c r="B13033" s="4"/>
    </row>
    <row r="13034" spans="1:2" x14ac:dyDescent="0.4">
      <c r="A13034" s="4"/>
      <c r="B13034" s="4"/>
    </row>
    <row r="13035" spans="1:2" x14ac:dyDescent="0.4">
      <c r="A13035" s="4"/>
      <c r="B13035" s="4"/>
    </row>
    <row r="13036" spans="1:2" x14ac:dyDescent="0.4">
      <c r="A13036" s="4"/>
      <c r="B13036" s="4"/>
    </row>
    <row r="13037" spans="1:2" x14ac:dyDescent="0.4">
      <c r="A13037" s="4"/>
      <c r="B13037" s="4"/>
    </row>
    <row r="13038" spans="1:2" x14ac:dyDescent="0.4">
      <c r="A13038" s="4"/>
      <c r="B13038" s="4"/>
    </row>
    <row r="13039" spans="1:2" x14ac:dyDescent="0.4">
      <c r="A13039" s="4"/>
      <c r="B13039" s="4"/>
    </row>
    <row r="13040" spans="1:2" x14ac:dyDescent="0.4">
      <c r="A13040" s="4"/>
      <c r="B13040" s="4"/>
    </row>
    <row r="13041" spans="1:2" x14ac:dyDescent="0.4">
      <c r="A13041" s="4"/>
      <c r="B13041" s="4"/>
    </row>
    <row r="13042" spans="1:2" x14ac:dyDescent="0.4">
      <c r="A13042" s="4"/>
      <c r="B13042" s="4"/>
    </row>
    <row r="13043" spans="1:2" x14ac:dyDescent="0.4">
      <c r="A13043" s="4"/>
      <c r="B13043" s="4"/>
    </row>
    <row r="13044" spans="1:2" x14ac:dyDescent="0.4">
      <c r="A13044" s="4"/>
      <c r="B13044" s="4"/>
    </row>
    <row r="13045" spans="1:2" x14ac:dyDescent="0.4">
      <c r="A13045" s="4"/>
      <c r="B13045" s="4"/>
    </row>
    <row r="13046" spans="1:2" x14ac:dyDescent="0.4">
      <c r="A13046" s="4"/>
      <c r="B13046" s="4"/>
    </row>
    <row r="13047" spans="1:2" x14ac:dyDescent="0.4">
      <c r="A13047" s="4"/>
      <c r="B13047" s="4"/>
    </row>
    <row r="13048" spans="1:2" x14ac:dyDescent="0.4">
      <c r="A13048" s="4"/>
      <c r="B13048" s="4"/>
    </row>
    <row r="13049" spans="1:2" x14ac:dyDescent="0.4">
      <c r="A13049" s="4"/>
      <c r="B13049" s="4"/>
    </row>
    <row r="13050" spans="1:2" x14ac:dyDescent="0.4">
      <c r="A13050" s="4"/>
      <c r="B13050" s="4"/>
    </row>
    <row r="13051" spans="1:2" x14ac:dyDescent="0.4">
      <c r="A13051" s="4"/>
      <c r="B13051" s="4"/>
    </row>
    <row r="13052" spans="1:2" x14ac:dyDescent="0.4">
      <c r="A13052" s="4"/>
      <c r="B13052" s="4"/>
    </row>
    <row r="13053" spans="1:2" x14ac:dyDescent="0.4">
      <c r="A13053" s="4"/>
      <c r="B13053" s="4"/>
    </row>
    <row r="13054" spans="1:2" x14ac:dyDescent="0.4">
      <c r="A13054" s="4"/>
      <c r="B13054" s="4"/>
    </row>
    <row r="13055" spans="1:2" x14ac:dyDescent="0.4">
      <c r="A13055" s="4"/>
      <c r="B13055" s="4"/>
    </row>
    <row r="13056" spans="1:2" x14ac:dyDescent="0.4">
      <c r="A13056" s="4"/>
      <c r="B13056" s="4"/>
    </row>
    <row r="13057" spans="1:2" x14ac:dyDescent="0.4">
      <c r="A13057" s="4"/>
      <c r="B13057" s="4"/>
    </row>
    <row r="13058" spans="1:2" x14ac:dyDescent="0.4">
      <c r="A13058" s="4"/>
      <c r="B13058" s="4"/>
    </row>
    <row r="13059" spans="1:2" x14ac:dyDescent="0.4">
      <c r="A13059" s="4"/>
      <c r="B13059" s="4"/>
    </row>
    <row r="13060" spans="1:2" x14ac:dyDescent="0.4">
      <c r="A13060" s="4"/>
      <c r="B13060" s="4"/>
    </row>
    <row r="13061" spans="1:2" x14ac:dyDescent="0.4">
      <c r="A13061" s="4"/>
      <c r="B13061" s="4"/>
    </row>
    <row r="13062" spans="1:2" x14ac:dyDescent="0.4">
      <c r="A13062" s="4"/>
      <c r="B13062" s="4"/>
    </row>
    <row r="13063" spans="1:2" x14ac:dyDescent="0.4">
      <c r="A13063" s="4"/>
      <c r="B13063" s="4"/>
    </row>
    <row r="13064" spans="1:2" x14ac:dyDescent="0.4">
      <c r="A13064" s="4"/>
      <c r="B13064" s="4"/>
    </row>
    <row r="13065" spans="1:2" x14ac:dyDescent="0.4">
      <c r="A13065" s="4"/>
      <c r="B13065" s="4"/>
    </row>
    <row r="13066" spans="1:2" x14ac:dyDescent="0.4">
      <c r="A13066" s="4"/>
      <c r="B13066" s="4"/>
    </row>
    <row r="13067" spans="1:2" x14ac:dyDescent="0.4">
      <c r="A13067" s="4"/>
      <c r="B13067" s="4"/>
    </row>
    <row r="13068" spans="1:2" x14ac:dyDescent="0.4">
      <c r="A13068" s="4"/>
      <c r="B13068" s="4"/>
    </row>
    <row r="13069" spans="1:2" x14ac:dyDescent="0.4">
      <c r="A13069" s="4"/>
      <c r="B13069" s="4"/>
    </row>
    <row r="13070" spans="1:2" x14ac:dyDescent="0.4">
      <c r="A13070" s="4"/>
      <c r="B13070" s="4"/>
    </row>
    <row r="13071" spans="1:2" x14ac:dyDescent="0.4">
      <c r="A13071" s="4"/>
      <c r="B13071" s="4"/>
    </row>
    <row r="13072" spans="1:2" x14ac:dyDescent="0.4">
      <c r="A13072" s="4"/>
      <c r="B13072" s="4"/>
    </row>
    <row r="13073" spans="1:2" x14ac:dyDescent="0.4">
      <c r="A13073" s="4"/>
      <c r="B13073" s="4"/>
    </row>
    <row r="13074" spans="1:2" x14ac:dyDescent="0.4">
      <c r="A13074" s="4"/>
      <c r="B13074" s="4"/>
    </row>
    <row r="13075" spans="1:2" x14ac:dyDescent="0.4">
      <c r="A13075" s="4"/>
      <c r="B13075" s="4"/>
    </row>
    <row r="13076" spans="1:2" x14ac:dyDescent="0.4">
      <c r="A13076" s="4"/>
      <c r="B13076" s="4"/>
    </row>
    <row r="13077" spans="1:2" x14ac:dyDescent="0.4">
      <c r="A13077" s="4"/>
      <c r="B13077" s="4"/>
    </row>
    <row r="13078" spans="1:2" x14ac:dyDescent="0.4">
      <c r="A13078" s="4"/>
      <c r="B13078" s="4"/>
    </row>
    <row r="13079" spans="1:2" x14ac:dyDescent="0.4">
      <c r="A13079" s="4"/>
      <c r="B13079" s="4"/>
    </row>
    <row r="13080" spans="1:2" x14ac:dyDescent="0.4">
      <c r="A13080" s="4"/>
      <c r="B13080" s="4"/>
    </row>
    <row r="13081" spans="1:2" x14ac:dyDescent="0.4">
      <c r="A13081" s="4"/>
      <c r="B13081" s="4"/>
    </row>
    <row r="13082" spans="1:2" x14ac:dyDescent="0.4">
      <c r="A13082" s="4"/>
      <c r="B13082" s="4"/>
    </row>
    <row r="13083" spans="1:2" x14ac:dyDescent="0.4">
      <c r="A13083" s="4"/>
      <c r="B13083" s="4"/>
    </row>
    <row r="13084" spans="1:2" x14ac:dyDescent="0.4">
      <c r="A13084" s="4"/>
      <c r="B13084" s="4"/>
    </row>
    <row r="13085" spans="1:2" x14ac:dyDescent="0.4">
      <c r="A13085" s="4"/>
      <c r="B13085" s="4"/>
    </row>
    <row r="13086" spans="1:2" x14ac:dyDescent="0.4">
      <c r="A13086" s="4"/>
      <c r="B13086" s="4"/>
    </row>
    <row r="13087" spans="1:2" x14ac:dyDescent="0.4">
      <c r="A13087" s="4"/>
      <c r="B13087" s="4"/>
    </row>
    <row r="13088" spans="1:2" x14ac:dyDescent="0.4">
      <c r="A13088" s="4"/>
      <c r="B13088" s="4"/>
    </row>
    <row r="13089" spans="1:2" x14ac:dyDescent="0.4">
      <c r="A13089" s="4"/>
      <c r="B13089" s="4"/>
    </row>
    <row r="13090" spans="1:2" x14ac:dyDescent="0.4">
      <c r="A13090" s="4"/>
      <c r="B13090" s="4"/>
    </row>
    <row r="13091" spans="1:2" x14ac:dyDescent="0.4">
      <c r="A13091" s="4"/>
      <c r="B13091" s="4"/>
    </row>
    <row r="13092" spans="1:2" x14ac:dyDescent="0.4">
      <c r="A13092" s="4"/>
      <c r="B13092" s="4"/>
    </row>
    <row r="13093" spans="1:2" x14ac:dyDescent="0.4">
      <c r="A13093" s="4"/>
      <c r="B13093" s="4"/>
    </row>
    <row r="13094" spans="1:2" x14ac:dyDescent="0.4">
      <c r="A13094" s="4"/>
      <c r="B13094" s="4"/>
    </row>
    <row r="13095" spans="1:2" x14ac:dyDescent="0.4">
      <c r="A13095" s="4"/>
      <c r="B13095" s="4"/>
    </row>
    <row r="13096" spans="1:2" x14ac:dyDescent="0.4">
      <c r="A13096" s="4"/>
      <c r="B13096" s="4"/>
    </row>
    <row r="13097" spans="1:2" x14ac:dyDescent="0.4">
      <c r="A13097" s="4"/>
      <c r="B13097" s="4"/>
    </row>
    <row r="13098" spans="1:2" x14ac:dyDescent="0.4">
      <c r="A13098" s="4"/>
      <c r="B13098" s="4"/>
    </row>
    <row r="13099" spans="1:2" x14ac:dyDescent="0.4">
      <c r="A13099" s="4"/>
      <c r="B13099" s="4"/>
    </row>
    <row r="13100" spans="1:2" x14ac:dyDescent="0.4">
      <c r="A13100" s="4"/>
      <c r="B13100" s="4"/>
    </row>
    <row r="13101" spans="1:2" x14ac:dyDescent="0.4">
      <c r="A13101" s="4"/>
      <c r="B13101" s="4"/>
    </row>
    <row r="13102" spans="1:2" x14ac:dyDescent="0.4">
      <c r="A13102" s="4"/>
      <c r="B13102" s="4"/>
    </row>
    <row r="13103" spans="1:2" x14ac:dyDescent="0.4">
      <c r="A13103" s="4"/>
      <c r="B13103" s="4"/>
    </row>
    <row r="13104" spans="1:2" x14ac:dyDescent="0.4">
      <c r="A13104" s="4"/>
      <c r="B13104" s="4"/>
    </row>
    <row r="13105" spans="1:2" x14ac:dyDescent="0.4">
      <c r="A13105" s="4"/>
      <c r="B13105" s="4"/>
    </row>
    <row r="13106" spans="1:2" x14ac:dyDescent="0.4">
      <c r="A13106" s="4"/>
      <c r="B13106" s="4"/>
    </row>
    <row r="13107" spans="1:2" x14ac:dyDescent="0.4">
      <c r="A13107" s="4"/>
      <c r="B13107" s="4"/>
    </row>
    <row r="13108" spans="1:2" x14ac:dyDescent="0.4">
      <c r="A13108" s="4"/>
      <c r="B13108" s="4"/>
    </row>
    <row r="13109" spans="1:2" x14ac:dyDescent="0.4">
      <c r="A13109" s="4"/>
      <c r="B13109" s="4"/>
    </row>
    <row r="13110" spans="1:2" x14ac:dyDescent="0.4">
      <c r="A13110" s="4"/>
      <c r="B13110" s="4"/>
    </row>
    <row r="13111" spans="1:2" x14ac:dyDescent="0.4">
      <c r="A13111" s="4"/>
      <c r="B13111" s="4"/>
    </row>
    <row r="13112" spans="1:2" x14ac:dyDescent="0.4">
      <c r="A13112" s="4"/>
      <c r="B13112" s="4"/>
    </row>
    <row r="13113" spans="1:2" x14ac:dyDescent="0.4">
      <c r="A13113" s="4"/>
      <c r="B13113" s="4"/>
    </row>
    <row r="13114" spans="1:2" x14ac:dyDescent="0.4">
      <c r="A13114" s="4"/>
      <c r="B13114" s="4"/>
    </row>
    <row r="13115" spans="1:2" x14ac:dyDescent="0.4">
      <c r="A13115" s="4"/>
      <c r="B13115" s="4"/>
    </row>
    <row r="13116" spans="1:2" x14ac:dyDescent="0.4">
      <c r="A13116" s="4"/>
      <c r="B13116" s="4"/>
    </row>
    <row r="13117" spans="1:2" x14ac:dyDescent="0.4">
      <c r="A13117" s="4"/>
      <c r="B13117" s="4"/>
    </row>
    <row r="13118" spans="1:2" x14ac:dyDescent="0.4">
      <c r="A13118" s="4"/>
      <c r="B13118" s="4"/>
    </row>
    <row r="13119" spans="1:2" x14ac:dyDescent="0.4">
      <c r="A13119" s="4"/>
      <c r="B13119" s="4"/>
    </row>
    <row r="13120" spans="1:2" x14ac:dyDescent="0.4">
      <c r="A13120" s="4"/>
      <c r="B13120" s="4"/>
    </row>
    <row r="13121" spans="1:2" x14ac:dyDescent="0.4">
      <c r="A13121" s="4"/>
      <c r="B13121" s="4"/>
    </row>
    <row r="13122" spans="1:2" x14ac:dyDescent="0.4">
      <c r="A13122" s="4"/>
      <c r="B13122" s="4"/>
    </row>
    <row r="13123" spans="1:2" x14ac:dyDescent="0.4">
      <c r="A13123" s="4"/>
      <c r="B13123" s="4"/>
    </row>
    <row r="13124" spans="1:2" x14ac:dyDescent="0.4">
      <c r="A13124" s="4"/>
      <c r="B13124" s="4"/>
    </row>
    <row r="13125" spans="1:2" x14ac:dyDescent="0.4">
      <c r="A13125" s="4"/>
      <c r="B13125" s="4"/>
    </row>
    <row r="13126" spans="1:2" x14ac:dyDescent="0.4">
      <c r="A13126" s="4"/>
      <c r="B13126" s="4"/>
    </row>
    <row r="13127" spans="1:2" x14ac:dyDescent="0.4">
      <c r="A13127" s="4"/>
      <c r="B13127" s="4"/>
    </row>
    <row r="13128" spans="1:2" x14ac:dyDescent="0.4">
      <c r="A13128" s="4"/>
      <c r="B13128" s="4"/>
    </row>
    <row r="13129" spans="1:2" x14ac:dyDescent="0.4">
      <c r="A13129" s="4"/>
      <c r="B13129" s="4"/>
    </row>
    <row r="13130" spans="1:2" x14ac:dyDescent="0.4">
      <c r="A13130" s="4"/>
      <c r="B13130" s="4"/>
    </row>
    <row r="13131" spans="1:2" x14ac:dyDescent="0.4">
      <c r="A13131" s="4"/>
      <c r="B13131" s="4"/>
    </row>
    <row r="13132" spans="1:2" x14ac:dyDescent="0.4">
      <c r="A13132" s="4"/>
      <c r="B13132" s="4"/>
    </row>
    <row r="13133" spans="1:2" x14ac:dyDescent="0.4">
      <c r="A13133" s="4"/>
      <c r="B13133" s="4"/>
    </row>
    <row r="13134" spans="1:2" x14ac:dyDescent="0.4">
      <c r="A13134" s="4"/>
      <c r="B13134" s="4"/>
    </row>
    <row r="13135" spans="1:2" x14ac:dyDescent="0.4">
      <c r="A13135" s="4"/>
      <c r="B13135" s="4"/>
    </row>
    <row r="13136" spans="1:2" x14ac:dyDescent="0.4">
      <c r="A13136" s="4"/>
      <c r="B13136" s="4"/>
    </row>
    <row r="13137" spans="1:2" x14ac:dyDescent="0.4">
      <c r="A13137" s="4"/>
      <c r="B13137" s="4"/>
    </row>
    <row r="13138" spans="1:2" x14ac:dyDescent="0.4">
      <c r="A13138" s="4"/>
      <c r="B13138" s="4"/>
    </row>
    <row r="13139" spans="1:2" x14ac:dyDescent="0.4">
      <c r="A13139" s="4"/>
      <c r="B13139" s="4"/>
    </row>
    <row r="13140" spans="1:2" x14ac:dyDescent="0.4">
      <c r="A13140" s="4"/>
      <c r="B13140" s="4"/>
    </row>
    <row r="13141" spans="1:2" x14ac:dyDescent="0.4">
      <c r="A13141" s="4"/>
      <c r="B13141" s="4"/>
    </row>
    <row r="13142" spans="1:2" x14ac:dyDescent="0.4">
      <c r="A13142" s="4"/>
      <c r="B13142" s="4"/>
    </row>
    <row r="13143" spans="1:2" x14ac:dyDescent="0.4">
      <c r="A13143" s="4"/>
      <c r="B13143" s="4"/>
    </row>
    <row r="13144" spans="1:2" x14ac:dyDescent="0.4">
      <c r="A13144" s="4"/>
      <c r="B13144" s="4"/>
    </row>
    <row r="13145" spans="1:2" x14ac:dyDescent="0.4">
      <c r="A13145" s="4"/>
      <c r="B13145" s="4"/>
    </row>
    <row r="13146" spans="1:2" x14ac:dyDescent="0.4">
      <c r="A13146" s="4"/>
      <c r="B13146" s="4"/>
    </row>
    <row r="13147" spans="1:2" x14ac:dyDescent="0.4">
      <c r="A13147" s="4"/>
      <c r="B13147" s="4"/>
    </row>
    <row r="13148" spans="1:2" x14ac:dyDescent="0.4">
      <c r="A13148" s="4"/>
      <c r="B13148" s="4"/>
    </row>
    <row r="13149" spans="1:2" x14ac:dyDescent="0.4">
      <c r="A13149" s="4"/>
      <c r="B13149" s="4"/>
    </row>
    <row r="13150" spans="1:2" x14ac:dyDescent="0.4">
      <c r="A13150" s="4"/>
      <c r="B13150" s="4"/>
    </row>
    <row r="13151" spans="1:2" x14ac:dyDescent="0.4">
      <c r="A13151" s="4"/>
      <c r="B13151" s="4"/>
    </row>
    <row r="13152" spans="1:2" x14ac:dyDescent="0.4">
      <c r="A13152" s="4"/>
      <c r="B13152" s="4"/>
    </row>
    <row r="13153" spans="1:2" x14ac:dyDescent="0.4">
      <c r="A13153" s="4"/>
      <c r="B13153" s="4"/>
    </row>
    <row r="13154" spans="1:2" x14ac:dyDescent="0.4">
      <c r="A13154" s="4"/>
      <c r="B13154" s="4"/>
    </row>
    <row r="13155" spans="1:2" x14ac:dyDescent="0.4">
      <c r="A13155" s="4"/>
      <c r="B13155" s="4"/>
    </row>
    <row r="13156" spans="1:2" x14ac:dyDescent="0.4">
      <c r="A13156" s="4"/>
      <c r="B13156" s="4"/>
    </row>
    <row r="13157" spans="1:2" x14ac:dyDescent="0.4">
      <c r="A13157" s="4"/>
      <c r="B13157" s="4"/>
    </row>
    <row r="13158" spans="1:2" x14ac:dyDescent="0.4">
      <c r="A13158" s="4"/>
      <c r="B13158" s="4"/>
    </row>
    <row r="13159" spans="1:2" x14ac:dyDescent="0.4">
      <c r="A13159" s="4"/>
      <c r="B13159" s="4"/>
    </row>
    <row r="13160" spans="1:2" x14ac:dyDescent="0.4">
      <c r="A13160" s="4"/>
      <c r="B13160" s="4"/>
    </row>
    <row r="13161" spans="1:2" x14ac:dyDescent="0.4">
      <c r="A13161" s="4"/>
      <c r="B13161" s="4"/>
    </row>
    <row r="13162" spans="1:2" x14ac:dyDescent="0.4">
      <c r="A13162" s="4"/>
      <c r="B13162" s="4"/>
    </row>
    <row r="13163" spans="1:2" x14ac:dyDescent="0.4">
      <c r="A13163" s="4"/>
      <c r="B13163" s="4"/>
    </row>
    <row r="13164" spans="1:2" x14ac:dyDescent="0.4">
      <c r="A13164" s="4"/>
      <c r="B13164" s="4"/>
    </row>
    <row r="13165" spans="1:2" x14ac:dyDescent="0.4">
      <c r="A13165" s="4"/>
      <c r="B13165" s="4"/>
    </row>
    <row r="13166" spans="1:2" x14ac:dyDescent="0.4">
      <c r="A13166" s="4"/>
      <c r="B13166" s="4"/>
    </row>
    <row r="13167" spans="1:2" x14ac:dyDescent="0.4">
      <c r="A13167" s="4"/>
      <c r="B13167" s="4"/>
    </row>
    <row r="13168" spans="1:2" x14ac:dyDescent="0.4">
      <c r="A13168" s="4"/>
      <c r="B13168" s="4"/>
    </row>
    <row r="13169" spans="1:2" x14ac:dyDescent="0.4">
      <c r="A13169" s="4"/>
      <c r="B13169" s="4"/>
    </row>
    <row r="13170" spans="1:2" x14ac:dyDescent="0.4">
      <c r="A13170" s="4"/>
      <c r="B13170" s="4"/>
    </row>
    <row r="13171" spans="1:2" x14ac:dyDescent="0.4">
      <c r="A13171" s="4"/>
      <c r="B13171" s="4"/>
    </row>
    <row r="13172" spans="1:2" x14ac:dyDescent="0.4">
      <c r="A13172" s="4"/>
      <c r="B13172" s="4"/>
    </row>
    <row r="13173" spans="1:2" x14ac:dyDescent="0.4">
      <c r="A13173" s="4"/>
      <c r="B13173" s="4"/>
    </row>
    <row r="13174" spans="1:2" x14ac:dyDescent="0.4">
      <c r="A13174" s="4"/>
      <c r="B13174" s="4"/>
    </row>
    <row r="13175" spans="1:2" x14ac:dyDescent="0.4">
      <c r="A13175" s="4"/>
      <c r="B13175" s="4"/>
    </row>
    <row r="13176" spans="1:2" x14ac:dyDescent="0.4">
      <c r="A13176" s="4"/>
      <c r="B13176" s="4"/>
    </row>
    <row r="13177" spans="1:2" x14ac:dyDescent="0.4">
      <c r="A13177" s="4"/>
      <c r="B13177" s="4"/>
    </row>
    <row r="13178" spans="1:2" x14ac:dyDescent="0.4">
      <c r="A13178" s="4"/>
      <c r="B13178" s="4"/>
    </row>
    <row r="13179" spans="1:2" x14ac:dyDescent="0.4">
      <c r="A13179" s="4"/>
      <c r="B13179" s="4"/>
    </row>
    <row r="13180" spans="1:2" x14ac:dyDescent="0.4">
      <c r="A13180" s="4"/>
      <c r="B13180" s="4"/>
    </row>
    <row r="13181" spans="1:2" x14ac:dyDescent="0.4">
      <c r="A13181" s="4"/>
      <c r="B13181" s="4"/>
    </row>
    <row r="13182" spans="1:2" x14ac:dyDescent="0.4">
      <c r="A13182" s="4"/>
      <c r="B13182" s="4"/>
    </row>
    <row r="13183" spans="1:2" x14ac:dyDescent="0.4">
      <c r="A13183" s="4"/>
      <c r="B13183" s="4"/>
    </row>
    <row r="13184" spans="1:2" x14ac:dyDescent="0.4">
      <c r="A13184" s="4"/>
      <c r="B13184" s="4"/>
    </row>
    <row r="13185" spans="1:2" x14ac:dyDescent="0.4">
      <c r="A13185" s="4"/>
      <c r="B13185" s="4"/>
    </row>
    <row r="13186" spans="1:2" x14ac:dyDescent="0.4">
      <c r="A13186" s="4"/>
      <c r="B13186" s="4"/>
    </row>
    <row r="13187" spans="1:2" x14ac:dyDescent="0.4">
      <c r="A13187" s="4"/>
      <c r="B13187" s="4"/>
    </row>
    <row r="13188" spans="1:2" x14ac:dyDescent="0.4">
      <c r="A13188" s="4"/>
      <c r="B13188" s="4"/>
    </row>
    <row r="13189" spans="1:2" x14ac:dyDescent="0.4">
      <c r="A13189" s="4"/>
      <c r="B13189" s="4"/>
    </row>
    <row r="13190" spans="1:2" x14ac:dyDescent="0.4">
      <c r="A13190" s="4"/>
      <c r="B13190" s="4"/>
    </row>
    <row r="13191" spans="1:2" x14ac:dyDescent="0.4">
      <c r="A13191" s="4"/>
      <c r="B13191" s="4"/>
    </row>
    <row r="13192" spans="1:2" x14ac:dyDescent="0.4">
      <c r="A13192" s="4"/>
      <c r="B13192" s="4"/>
    </row>
    <row r="13193" spans="1:2" x14ac:dyDescent="0.4">
      <c r="A13193" s="4"/>
      <c r="B13193" s="4"/>
    </row>
    <row r="13194" spans="1:2" x14ac:dyDescent="0.4">
      <c r="A13194" s="4"/>
      <c r="B13194" s="4"/>
    </row>
    <row r="13195" spans="1:2" x14ac:dyDescent="0.4">
      <c r="A13195" s="4"/>
      <c r="B13195" s="4"/>
    </row>
    <row r="13196" spans="1:2" x14ac:dyDescent="0.4">
      <c r="A13196" s="4"/>
      <c r="B13196" s="4"/>
    </row>
    <row r="13197" spans="1:2" x14ac:dyDescent="0.4">
      <c r="A13197" s="4"/>
      <c r="B13197" s="4"/>
    </row>
    <row r="13198" spans="1:2" x14ac:dyDescent="0.4">
      <c r="A13198" s="4"/>
      <c r="B13198" s="4"/>
    </row>
    <row r="13199" spans="1:2" x14ac:dyDescent="0.4">
      <c r="A13199" s="4"/>
      <c r="B13199" s="4"/>
    </row>
    <row r="13200" spans="1:2" x14ac:dyDescent="0.4">
      <c r="A13200" s="4"/>
      <c r="B13200" s="4"/>
    </row>
    <row r="13201" spans="1:2" x14ac:dyDescent="0.4">
      <c r="A13201" s="4"/>
      <c r="B13201" s="4"/>
    </row>
    <row r="13202" spans="1:2" x14ac:dyDescent="0.4">
      <c r="A13202" s="4"/>
      <c r="B13202" s="4"/>
    </row>
    <row r="13203" spans="1:2" x14ac:dyDescent="0.4">
      <c r="A13203" s="4"/>
      <c r="B13203" s="4"/>
    </row>
    <row r="13204" spans="1:2" x14ac:dyDescent="0.4">
      <c r="A13204" s="4"/>
      <c r="B13204" s="4"/>
    </row>
    <row r="13205" spans="1:2" x14ac:dyDescent="0.4">
      <c r="A13205" s="4"/>
      <c r="B13205" s="4"/>
    </row>
    <row r="13206" spans="1:2" x14ac:dyDescent="0.4">
      <c r="A13206" s="4"/>
      <c r="B13206" s="4"/>
    </row>
    <row r="13207" spans="1:2" x14ac:dyDescent="0.4">
      <c r="A13207" s="4"/>
      <c r="B13207" s="4"/>
    </row>
    <row r="13208" spans="1:2" x14ac:dyDescent="0.4">
      <c r="A13208" s="4"/>
      <c r="B13208" s="4"/>
    </row>
    <row r="13209" spans="1:2" x14ac:dyDescent="0.4">
      <c r="A13209" s="4"/>
      <c r="B13209" s="4"/>
    </row>
    <row r="13210" spans="1:2" x14ac:dyDescent="0.4">
      <c r="A13210" s="4"/>
      <c r="B13210" s="4"/>
    </row>
    <row r="13211" spans="1:2" x14ac:dyDescent="0.4">
      <c r="A13211" s="4"/>
      <c r="B13211" s="4"/>
    </row>
    <row r="13212" spans="1:2" x14ac:dyDescent="0.4">
      <c r="A13212" s="4"/>
      <c r="B13212" s="4"/>
    </row>
    <row r="13213" spans="1:2" x14ac:dyDescent="0.4">
      <c r="A13213" s="4"/>
      <c r="B13213" s="4"/>
    </row>
    <row r="13214" spans="1:2" x14ac:dyDescent="0.4">
      <c r="A13214" s="4"/>
      <c r="B13214" s="4"/>
    </row>
    <row r="13215" spans="1:2" x14ac:dyDescent="0.4">
      <c r="A13215" s="4"/>
      <c r="B13215" s="4"/>
    </row>
    <row r="13216" spans="1:2" x14ac:dyDescent="0.4">
      <c r="A13216" s="4"/>
      <c r="B13216" s="4"/>
    </row>
    <row r="13217" spans="1:2" x14ac:dyDescent="0.4">
      <c r="A13217" s="4"/>
      <c r="B13217" s="4"/>
    </row>
    <row r="13218" spans="1:2" x14ac:dyDescent="0.4">
      <c r="A13218" s="4"/>
      <c r="B13218" s="4"/>
    </row>
    <row r="13219" spans="1:2" x14ac:dyDescent="0.4">
      <c r="A13219" s="4"/>
      <c r="B13219" s="4"/>
    </row>
    <row r="13220" spans="1:2" x14ac:dyDescent="0.4">
      <c r="A13220" s="4"/>
      <c r="B13220" s="4"/>
    </row>
    <row r="13221" spans="1:2" x14ac:dyDescent="0.4">
      <c r="A13221" s="4"/>
      <c r="B13221" s="4"/>
    </row>
    <row r="13222" spans="1:2" x14ac:dyDescent="0.4">
      <c r="A13222" s="4"/>
      <c r="B13222" s="4"/>
    </row>
    <row r="13223" spans="1:2" x14ac:dyDescent="0.4">
      <c r="A13223" s="4"/>
      <c r="B13223" s="4"/>
    </row>
    <row r="13224" spans="1:2" x14ac:dyDescent="0.4">
      <c r="A13224" s="4"/>
      <c r="B13224" s="4"/>
    </row>
    <row r="13225" spans="1:2" x14ac:dyDescent="0.4">
      <c r="A13225" s="4"/>
      <c r="B13225" s="4"/>
    </row>
    <row r="13226" spans="1:2" x14ac:dyDescent="0.4">
      <c r="A13226" s="4"/>
      <c r="B13226" s="4"/>
    </row>
    <row r="13227" spans="1:2" x14ac:dyDescent="0.4">
      <c r="A13227" s="4"/>
      <c r="B13227" s="4"/>
    </row>
    <row r="13228" spans="1:2" x14ac:dyDescent="0.4">
      <c r="A13228" s="4"/>
      <c r="B13228" s="4"/>
    </row>
    <row r="13229" spans="1:2" x14ac:dyDescent="0.4">
      <c r="A13229" s="4"/>
      <c r="B13229" s="4"/>
    </row>
    <row r="13230" spans="1:2" x14ac:dyDescent="0.4">
      <c r="A13230" s="4"/>
      <c r="B13230" s="4"/>
    </row>
    <row r="13231" spans="1:2" x14ac:dyDescent="0.4">
      <c r="A13231" s="4"/>
      <c r="B13231" s="4"/>
    </row>
    <row r="13232" spans="1:2" x14ac:dyDescent="0.4">
      <c r="A13232" s="4"/>
      <c r="B13232" s="4"/>
    </row>
    <row r="13233" spans="1:2" x14ac:dyDescent="0.4">
      <c r="A13233" s="4"/>
      <c r="B13233" s="4"/>
    </row>
    <row r="13234" spans="1:2" x14ac:dyDescent="0.4">
      <c r="A13234" s="4"/>
      <c r="B13234" s="4"/>
    </row>
    <row r="13235" spans="1:2" x14ac:dyDescent="0.4">
      <c r="A13235" s="4"/>
      <c r="B13235" s="4"/>
    </row>
    <row r="13236" spans="1:2" x14ac:dyDescent="0.4">
      <c r="A13236" s="4"/>
      <c r="B13236" s="4"/>
    </row>
    <row r="13237" spans="1:2" x14ac:dyDescent="0.4">
      <c r="A13237" s="4"/>
      <c r="B13237" s="4"/>
    </row>
    <row r="13238" spans="1:2" x14ac:dyDescent="0.4">
      <c r="A13238" s="4"/>
      <c r="B13238" s="4"/>
    </row>
    <row r="13239" spans="1:2" x14ac:dyDescent="0.4">
      <c r="A13239" s="4"/>
      <c r="B13239" s="4"/>
    </row>
    <row r="13240" spans="1:2" x14ac:dyDescent="0.4">
      <c r="A13240" s="4"/>
      <c r="B13240" s="4"/>
    </row>
    <row r="13241" spans="1:2" x14ac:dyDescent="0.4">
      <c r="A13241" s="4"/>
      <c r="B13241" s="4"/>
    </row>
    <row r="13242" spans="1:2" x14ac:dyDescent="0.4">
      <c r="A13242" s="4"/>
      <c r="B13242" s="4"/>
    </row>
    <row r="13243" spans="1:2" x14ac:dyDescent="0.4">
      <c r="A13243" s="4"/>
      <c r="B13243" s="4"/>
    </row>
    <row r="13244" spans="1:2" x14ac:dyDescent="0.4">
      <c r="A13244" s="4"/>
      <c r="B13244" s="4"/>
    </row>
    <row r="13245" spans="1:2" x14ac:dyDescent="0.4">
      <c r="A13245" s="4"/>
      <c r="B13245" s="4"/>
    </row>
    <row r="13246" spans="1:2" x14ac:dyDescent="0.4">
      <c r="A13246" s="4"/>
      <c r="B13246" s="4"/>
    </row>
    <row r="13247" spans="1:2" x14ac:dyDescent="0.4">
      <c r="A13247" s="4"/>
      <c r="B13247" s="4"/>
    </row>
    <row r="13248" spans="1:2" x14ac:dyDescent="0.4">
      <c r="A13248" s="4"/>
      <c r="B13248" s="4"/>
    </row>
    <row r="13249" spans="1:2" x14ac:dyDescent="0.4">
      <c r="A13249" s="4"/>
      <c r="B13249" s="4"/>
    </row>
    <row r="13250" spans="1:2" x14ac:dyDescent="0.4">
      <c r="A13250" s="4"/>
      <c r="B13250" s="4"/>
    </row>
    <row r="13251" spans="1:2" x14ac:dyDescent="0.4">
      <c r="A13251" s="4"/>
      <c r="B13251" s="4"/>
    </row>
    <row r="13252" spans="1:2" x14ac:dyDescent="0.4">
      <c r="A13252" s="4"/>
      <c r="B13252" s="4"/>
    </row>
    <row r="13253" spans="1:2" x14ac:dyDescent="0.4">
      <c r="A13253" s="4"/>
      <c r="B13253" s="4"/>
    </row>
    <row r="13254" spans="1:2" x14ac:dyDescent="0.4">
      <c r="A13254" s="4"/>
      <c r="B13254" s="4"/>
    </row>
    <row r="13255" spans="1:2" x14ac:dyDescent="0.4">
      <c r="A13255" s="4"/>
      <c r="B13255" s="4"/>
    </row>
    <row r="13256" spans="1:2" x14ac:dyDescent="0.4">
      <c r="A13256" s="4"/>
      <c r="B13256" s="4"/>
    </row>
    <row r="13257" spans="1:2" x14ac:dyDescent="0.4">
      <c r="A13257" s="4"/>
      <c r="B13257" s="4"/>
    </row>
    <row r="13258" spans="1:2" x14ac:dyDescent="0.4">
      <c r="A13258" s="4"/>
      <c r="B13258" s="4"/>
    </row>
    <row r="13259" spans="1:2" x14ac:dyDescent="0.4">
      <c r="A13259" s="4"/>
      <c r="B13259" s="4"/>
    </row>
    <row r="13260" spans="1:2" x14ac:dyDescent="0.4">
      <c r="A13260" s="4"/>
      <c r="B13260" s="4"/>
    </row>
    <row r="13261" spans="1:2" x14ac:dyDescent="0.4">
      <c r="A13261" s="4"/>
      <c r="B13261" s="4"/>
    </row>
    <row r="13262" spans="1:2" x14ac:dyDescent="0.4">
      <c r="A13262" s="4"/>
      <c r="B13262" s="4"/>
    </row>
    <row r="13263" spans="1:2" x14ac:dyDescent="0.4">
      <c r="A13263" s="4"/>
      <c r="B13263" s="4"/>
    </row>
    <row r="13264" spans="1:2" x14ac:dyDescent="0.4">
      <c r="A13264" s="4"/>
      <c r="B13264" s="4"/>
    </row>
    <row r="13265" spans="1:2" x14ac:dyDescent="0.4">
      <c r="A13265" s="4"/>
      <c r="B13265" s="4"/>
    </row>
    <row r="13266" spans="1:2" x14ac:dyDescent="0.4">
      <c r="A13266" s="4"/>
      <c r="B13266" s="4"/>
    </row>
    <row r="13267" spans="1:2" x14ac:dyDescent="0.4">
      <c r="A13267" s="4"/>
      <c r="B13267" s="4"/>
    </row>
    <row r="13268" spans="1:2" x14ac:dyDescent="0.4">
      <c r="A13268" s="4"/>
      <c r="B13268" s="4"/>
    </row>
    <row r="13269" spans="1:2" x14ac:dyDescent="0.4">
      <c r="A13269" s="4"/>
      <c r="B13269" s="4"/>
    </row>
    <row r="13270" spans="1:2" x14ac:dyDescent="0.4">
      <c r="A13270" s="4"/>
      <c r="B13270" s="4"/>
    </row>
    <row r="13271" spans="1:2" x14ac:dyDescent="0.4">
      <c r="A13271" s="4"/>
      <c r="B13271" s="4"/>
    </row>
    <row r="13272" spans="1:2" x14ac:dyDescent="0.4">
      <c r="A13272" s="4"/>
      <c r="B13272" s="4"/>
    </row>
    <row r="13273" spans="1:2" x14ac:dyDescent="0.4">
      <c r="A13273" s="4"/>
      <c r="B13273" s="4"/>
    </row>
    <row r="13274" spans="1:2" x14ac:dyDescent="0.4">
      <c r="A13274" s="4"/>
      <c r="B13274" s="4"/>
    </row>
    <row r="13275" spans="1:2" x14ac:dyDescent="0.4">
      <c r="A13275" s="4"/>
      <c r="B13275" s="4"/>
    </row>
    <row r="13276" spans="1:2" x14ac:dyDescent="0.4">
      <c r="A13276" s="4"/>
      <c r="B13276" s="4"/>
    </row>
    <row r="13277" spans="1:2" x14ac:dyDescent="0.4">
      <c r="A13277" s="4"/>
      <c r="B13277" s="4"/>
    </row>
    <row r="13278" spans="1:2" x14ac:dyDescent="0.4">
      <c r="A13278" s="4"/>
      <c r="B13278" s="4"/>
    </row>
    <row r="13279" spans="1:2" x14ac:dyDescent="0.4">
      <c r="A13279" s="4"/>
      <c r="B13279" s="4"/>
    </row>
    <row r="13280" spans="1:2" x14ac:dyDescent="0.4">
      <c r="A13280" s="4"/>
      <c r="B13280" s="4"/>
    </row>
    <row r="13281" spans="1:2" x14ac:dyDescent="0.4">
      <c r="A13281" s="4"/>
      <c r="B13281" s="4"/>
    </row>
    <row r="13282" spans="1:2" x14ac:dyDescent="0.4">
      <c r="A13282" s="4"/>
      <c r="B13282" s="4"/>
    </row>
    <row r="13283" spans="1:2" x14ac:dyDescent="0.4">
      <c r="A13283" s="4"/>
      <c r="B13283" s="4"/>
    </row>
    <row r="13284" spans="1:2" x14ac:dyDescent="0.4">
      <c r="A13284" s="4"/>
      <c r="B13284" s="4"/>
    </row>
    <row r="13285" spans="1:2" x14ac:dyDescent="0.4">
      <c r="A13285" s="4"/>
      <c r="B13285" s="4"/>
    </row>
    <row r="13286" spans="1:2" x14ac:dyDescent="0.4">
      <c r="A13286" s="4"/>
      <c r="B13286" s="4"/>
    </row>
    <row r="13287" spans="1:2" x14ac:dyDescent="0.4">
      <c r="A13287" s="4"/>
      <c r="B13287" s="4"/>
    </row>
    <row r="13288" spans="1:2" x14ac:dyDescent="0.4">
      <c r="A13288" s="4"/>
      <c r="B13288" s="4"/>
    </row>
    <row r="13289" spans="1:2" x14ac:dyDescent="0.4">
      <c r="A13289" s="4"/>
      <c r="B13289" s="4"/>
    </row>
    <row r="13290" spans="1:2" x14ac:dyDescent="0.4">
      <c r="A13290" s="4"/>
      <c r="B13290" s="4"/>
    </row>
    <row r="13291" spans="1:2" x14ac:dyDescent="0.4">
      <c r="A13291" s="4"/>
      <c r="B13291" s="4"/>
    </row>
    <row r="13292" spans="1:2" x14ac:dyDescent="0.4">
      <c r="A13292" s="4"/>
      <c r="B13292" s="4"/>
    </row>
    <row r="13293" spans="1:2" x14ac:dyDescent="0.4">
      <c r="A13293" s="4"/>
      <c r="B13293" s="4"/>
    </row>
    <row r="13294" spans="1:2" x14ac:dyDescent="0.4">
      <c r="A13294" s="4"/>
      <c r="B13294" s="4"/>
    </row>
    <row r="13295" spans="1:2" x14ac:dyDescent="0.4">
      <c r="A13295" s="4"/>
      <c r="B13295" s="4"/>
    </row>
    <row r="13296" spans="1:2" x14ac:dyDescent="0.4">
      <c r="A13296" s="4"/>
      <c r="B13296" s="4"/>
    </row>
    <row r="13297" spans="1:2" x14ac:dyDescent="0.4">
      <c r="A13297" s="4"/>
      <c r="B13297" s="4"/>
    </row>
    <row r="13298" spans="1:2" x14ac:dyDescent="0.4">
      <c r="A13298" s="4"/>
      <c r="B13298" s="4"/>
    </row>
    <row r="13299" spans="1:2" x14ac:dyDescent="0.4">
      <c r="A13299" s="4"/>
      <c r="B13299" s="4"/>
    </row>
    <row r="13300" spans="1:2" x14ac:dyDescent="0.4">
      <c r="A13300" s="4"/>
      <c r="B13300" s="4"/>
    </row>
    <row r="13301" spans="1:2" x14ac:dyDescent="0.4">
      <c r="A13301" s="4"/>
      <c r="B13301" s="4"/>
    </row>
    <row r="13302" spans="1:2" x14ac:dyDescent="0.4">
      <c r="A13302" s="4"/>
      <c r="B13302" s="4"/>
    </row>
    <row r="13303" spans="1:2" x14ac:dyDescent="0.4">
      <c r="A13303" s="4"/>
      <c r="B13303" s="4"/>
    </row>
    <row r="13304" spans="1:2" x14ac:dyDescent="0.4">
      <c r="A13304" s="4"/>
      <c r="B13304" s="4"/>
    </row>
    <row r="13305" spans="1:2" x14ac:dyDescent="0.4">
      <c r="A13305" s="4"/>
      <c r="B13305" s="4"/>
    </row>
    <row r="13306" spans="1:2" x14ac:dyDescent="0.4">
      <c r="A13306" s="4"/>
      <c r="B13306" s="4"/>
    </row>
    <row r="13307" spans="1:2" x14ac:dyDescent="0.4">
      <c r="A13307" s="4"/>
      <c r="B13307" s="4"/>
    </row>
    <row r="13308" spans="1:2" x14ac:dyDescent="0.4">
      <c r="A13308" s="4"/>
      <c r="B13308" s="4"/>
    </row>
    <row r="13309" spans="1:2" x14ac:dyDescent="0.4">
      <c r="A13309" s="4"/>
      <c r="B13309" s="4"/>
    </row>
    <row r="13310" spans="1:2" x14ac:dyDescent="0.4">
      <c r="A13310" s="4"/>
      <c r="B13310" s="4"/>
    </row>
    <row r="13311" spans="1:2" x14ac:dyDescent="0.4">
      <c r="A13311" s="4"/>
      <c r="B13311" s="4"/>
    </row>
    <row r="13312" spans="1:2" x14ac:dyDescent="0.4">
      <c r="A13312" s="4"/>
      <c r="B13312" s="4"/>
    </row>
    <row r="13313" spans="1:2" x14ac:dyDescent="0.4">
      <c r="A13313" s="4"/>
      <c r="B13313" s="4"/>
    </row>
    <row r="13314" spans="1:2" x14ac:dyDescent="0.4">
      <c r="A13314" s="4"/>
      <c r="B13314" s="4"/>
    </row>
    <row r="13315" spans="1:2" x14ac:dyDescent="0.4">
      <c r="A13315" s="4"/>
      <c r="B13315" s="4"/>
    </row>
    <row r="13316" spans="1:2" x14ac:dyDescent="0.4">
      <c r="A13316" s="4"/>
      <c r="B13316" s="4"/>
    </row>
    <row r="13317" spans="1:2" x14ac:dyDescent="0.4">
      <c r="A13317" s="4"/>
      <c r="B13317" s="4"/>
    </row>
    <row r="13318" spans="1:2" x14ac:dyDescent="0.4">
      <c r="A13318" s="4"/>
      <c r="B13318" s="4"/>
    </row>
    <row r="13319" spans="1:2" x14ac:dyDescent="0.4">
      <c r="A13319" s="4"/>
      <c r="B13319" s="4"/>
    </row>
    <row r="13320" spans="1:2" x14ac:dyDescent="0.4">
      <c r="A13320" s="4"/>
      <c r="B13320" s="4"/>
    </row>
    <row r="13321" spans="1:2" x14ac:dyDescent="0.4">
      <c r="A13321" s="4"/>
      <c r="B13321" s="4"/>
    </row>
    <row r="13322" spans="1:2" x14ac:dyDescent="0.4">
      <c r="A13322" s="4"/>
      <c r="B13322" s="4"/>
    </row>
    <row r="13323" spans="1:2" x14ac:dyDescent="0.4">
      <c r="A13323" s="4"/>
      <c r="B13323" s="4"/>
    </row>
    <row r="13324" spans="1:2" x14ac:dyDescent="0.4">
      <c r="A13324" s="4"/>
      <c r="B13324" s="4"/>
    </row>
    <row r="13325" spans="1:2" x14ac:dyDescent="0.4">
      <c r="A13325" s="4"/>
      <c r="B13325" s="4"/>
    </row>
    <row r="13326" spans="1:2" x14ac:dyDescent="0.4">
      <c r="A13326" s="4"/>
      <c r="B13326" s="4"/>
    </row>
    <row r="13327" spans="1:2" x14ac:dyDescent="0.4">
      <c r="A13327" s="4"/>
      <c r="B13327" s="4"/>
    </row>
    <row r="13328" spans="1:2" x14ac:dyDescent="0.4">
      <c r="A13328" s="4"/>
      <c r="B13328" s="4"/>
    </row>
    <row r="13329" spans="1:2" x14ac:dyDescent="0.4">
      <c r="A13329" s="4"/>
      <c r="B13329" s="4"/>
    </row>
    <row r="13330" spans="1:2" x14ac:dyDescent="0.4">
      <c r="A13330" s="4"/>
      <c r="B13330" s="4"/>
    </row>
    <row r="13331" spans="1:2" x14ac:dyDescent="0.4">
      <c r="A13331" s="4"/>
      <c r="B13331" s="4"/>
    </row>
    <row r="13332" spans="1:2" x14ac:dyDescent="0.4">
      <c r="A13332" s="4"/>
      <c r="B13332" s="4"/>
    </row>
    <row r="13333" spans="1:2" x14ac:dyDescent="0.4">
      <c r="A13333" s="4"/>
      <c r="B13333" s="4"/>
    </row>
    <row r="13334" spans="1:2" x14ac:dyDescent="0.4">
      <c r="A13334" s="4"/>
      <c r="B13334" s="4"/>
    </row>
    <row r="13335" spans="1:2" x14ac:dyDescent="0.4">
      <c r="A13335" s="4"/>
      <c r="B13335" s="4"/>
    </row>
    <row r="13336" spans="1:2" x14ac:dyDescent="0.4">
      <c r="A13336" s="4"/>
      <c r="B13336" s="4"/>
    </row>
    <row r="13337" spans="1:2" x14ac:dyDescent="0.4">
      <c r="A13337" s="4"/>
      <c r="B13337" s="4"/>
    </row>
    <row r="13338" spans="1:2" x14ac:dyDescent="0.4">
      <c r="A13338" s="4"/>
      <c r="B13338" s="4"/>
    </row>
    <row r="13339" spans="1:2" x14ac:dyDescent="0.4">
      <c r="A13339" s="4"/>
      <c r="B13339" s="4"/>
    </row>
    <row r="13340" spans="1:2" x14ac:dyDescent="0.4">
      <c r="A13340" s="4"/>
      <c r="B13340" s="4"/>
    </row>
    <row r="13341" spans="1:2" x14ac:dyDescent="0.4">
      <c r="A13341" s="4"/>
      <c r="B13341" s="4"/>
    </row>
    <row r="13342" spans="1:2" x14ac:dyDescent="0.4">
      <c r="A13342" s="4"/>
      <c r="B13342" s="4"/>
    </row>
    <row r="13343" spans="1:2" x14ac:dyDescent="0.4">
      <c r="A13343" s="4"/>
      <c r="B13343" s="4"/>
    </row>
    <row r="13344" spans="1:2" x14ac:dyDescent="0.4">
      <c r="A13344" s="4"/>
      <c r="B13344" s="4"/>
    </row>
    <row r="13345" spans="1:2" x14ac:dyDescent="0.4">
      <c r="A13345" s="4"/>
      <c r="B13345" s="4"/>
    </row>
    <row r="13346" spans="1:2" x14ac:dyDescent="0.4">
      <c r="A13346" s="4"/>
      <c r="B13346" s="4"/>
    </row>
    <row r="13347" spans="1:2" x14ac:dyDescent="0.4">
      <c r="A13347" s="4"/>
      <c r="B13347" s="4"/>
    </row>
    <row r="13348" spans="1:2" x14ac:dyDescent="0.4">
      <c r="A13348" s="4"/>
      <c r="B13348" s="4"/>
    </row>
    <row r="13349" spans="1:2" x14ac:dyDescent="0.4">
      <c r="A13349" s="4"/>
      <c r="B13349" s="4"/>
    </row>
    <row r="13350" spans="1:2" x14ac:dyDescent="0.4">
      <c r="A13350" s="4"/>
      <c r="B13350" s="4"/>
    </row>
    <row r="13351" spans="1:2" x14ac:dyDescent="0.4">
      <c r="A13351" s="4"/>
      <c r="B13351" s="4"/>
    </row>
    <row r="13352" spans="1:2" x14ac:dyDescent="0.4">
      <c r="A13352" s="4"/>
      <c r="B13352" s="4"/>
    </row>
    <row r="13353" spans="1:2" x14ac:dyDescent="0.4">
      <c r="A13353" s="4"/>
      <c r="B13353" s="4"/>
    </row>
    <row r="13354" spans="1:2" x14ac:dyDescent="0.4">
      <c r="A13354" s="4"/>
      <c r="B13354" s="4"/>
    </row>
    <row r="13355" spans="1:2" x14ac:dyDescent="0.4">
      <c r="A13355" s="4"/>
      <c r="B13355" s="4"/>
    </row>
    <row r="13356" spans="1:2" x14ac:dyDescent="0.4">
      <c r="A13356" s="4"/>
      <c r="B13356" s="4"/>
    </row>
    <row r="13357" spans="1:2" x14ac:dyDescent="0.4">
      <c r="A13357" s="4"/>
      <c r="B13357" s="4"/>
    </row>
    <row r="13358" spans="1:2" x14ac:dyDescent="0.4">
      <c r="A13358" s="4"/>
      <c r="B13358" s="4"/>
    </row>
    <row r="13359" spans="1:2" x14ac:dyDescent="0.4">
      <c r="A13359" s="4"/>
      <c r="B13359" s="4"/>
    </row>
    <row r="13360" spans="1:2" x14ac:dyDescent="0.4">
      <c r="A13360" s="4"/>
      <c r="B13360" s="4"/>
    </row>
    <row r="13361" spans="1:2" x14ac:dyDescent="0.4">
      <c r="A13361" s="4"/>
      <c r="B13361" s="4"/>
    </row>
    <row r="13362" spans="1:2" x14ac:dyDescent="0.4">
      <c r="A13362" s="4"/>
      <c r="B13362" s="4"/>
    </row>
    <row r="13363" spans="1:2" x14ac:dyDescent="0.4">
      <c r="A13363" s="4"/>
      <c r="B13363" s="4"/>
    </row>
    <row r="13364" spans="1:2" x14ac:dyDescent="0.4">
      <c r="A13364" s="4"/>
      <c r="B13364" s="4"/>
    </row>
    <row r="13365" spans="1:2" x14ac:dyDescent="0.4">
      <c r="A13365" s="4"/>
      <c r="B13365" s="4"/>
    </row>
    <row r="13366" spans="1:2" x14ac:dyDescent="0.4">
      <c r="A13366" s="4"/>
      <c r="B13366" s="4"/>
    </row>
    <row r="13367" spans="1:2" x14ac:dyDescent="0.4">
      <c r="A13367" s="4"/>
      <c r="B13367" s="4"/>
    </row>
    <row r="13368" spans="1:2" x14ac:dyDescent="0.4">
      <c r="A13368" s="4"/>
      <c r="B13368" s="4"/>
    </row>
    <row r="13369" spans="1:2" x14ac:dyDescent="0.4">
      <c r="A13369" s="4"/>
      <c r="B13369" s="4"/>
    </row>
    <row r="13370" spans="1:2" x14ac:dyDescent="0.4">
      <c r="A13370" s="4"/>
      <c r="B13370" s="4"/>
    </row>
    <row r="13371" spans="1:2" x14ac:dyDescent="0.4">
      <c r="A13371" s="4"/>
      <c r="B13371" s="4"/>
    </row>
    <row r="13372" spans="1:2" x14ac:dyDescent="0.4">
      <c r="A13372" s="4"/>
      <c r="B13372" s="4"/>
    </row>
    <row r="13373" spans="1:2" x14ac:dyDescent="0.4">
      <c r="A13373" s="4"/>
      <c r="B13373" s="4"/>
    </row>
    <row r="13374" spans="1:2" x14ac:dyDescent="0.4">
      <c r="A13374" s="4"/>
      <c r="B13374" s="4"/>
    </row>
    <row r="13375" spans="1:2" x14ac:dyDescent="0.4">
      <c r="A13375" s="4"/>
      <c r="B13375" s="4"/>
    </row>
    <row r="13376" spans="1:2" x14ac:dyDescent="0.4">
      <c r="A13376" s="4"/>
      <c r="B13376" s="4"/>
    </row>
    <row r="13377" spans="1:2" x14ac:dyDescent="0.4">
      <c r="A13377" s="4"/>
      <c r="B13377" s="4"/>
    </row>
    <row r="13378" spans="1:2" x14ac:dyDescent="0.4">
      <c r="A13378" s="4"/>
      <c r="B13378" s="4"/>
    </row>
    <row r="13379" spans="1:2" x14ac:dyDescent="0.4">
      <c r="A13379" s="4"/>
      <c r="B13379" s="4"/>
    </row>
    <row r="13380" spans="1:2" x14ac:dyDescent="0.4">
      <c r="A13380" s="4"/>
      <c r="B13380" s="4"/>
    </row>
    <row r="13381" spans="1:2" x14ac:dyDescent="0.4">
      <c r="A13381" s="4"/>
      <c r="B13381" s="4"/>
    </row>
    <row r="13382" spans="1:2" x14ac:dyDescent="0.4">
      <c r="A13382" s="4"/>
      <c r="B13382" s="4"/>
    </row>
    <row r="13383" spans="1:2" x14ac:dyDescent="0.4">
      <c r="A13383" s="4"/>
      <c r="B13383" s="4"/>
    </row>
    <row r="13384" spans="1:2" x14ac:dyDescent="0.4">
      <c r="A13384" s="4"/>
      <c r="B13384" s="4"/>
    </row>
    <row r="13385" spans="1:2" x14ac:dyDescent="0.4">
      <c r="A13385" s="4"/>
      <c r="B13385" s="4"/>
    </row>
    <row r="13386" spans="1:2" x14ac:dyDescent="0.4">
      <c r="A13386" s="4"/>
      <c r="B13386" s="4"/>
    </row>
    <row r="13387" spans="1:2" x14ac:dyDescent="0.4">
      <c r="A13387" s="4"/>
      <c r="B13387" s="4"/>
    </row>
    <row r="13388" spans="1:2" x14ac:dyDescent="0.4">
      <c r="A13388" s="4"/>
      <c r="B13388" s="4"/>
    </row>
    <row r="13389" spans="1:2" x14ac:dyDescent="0.4">
      <c r="A13389" s="4"/>
      <c r="B13389" s="4"/>
    </row>
    <row r="13390" spans="1:2" x14ac:dyDescent="0.4">
      <c r="A13390" s="4"/>
      <c r="B13390" s="4"/>
    </row>
    <row r="13391" spans="1:2" x14ac:dyDescent="0.4">
      <c r="A13391" s="4"/>
      <c r="B13391" s="4"/>
    </row>
    <row r="13392" spans="1:2" x14ac:dyDescent="0.4">
      <c r="A13392" s="4"/>
      <c r="B13392" s="4"/>
    </row>
    <row r="13393" spans="1:2" x14ac:dyDescent="0.4">
      <c r="A13393" s="4"/>
      <c r="B13393" s="4"/>
    </row>
    <row r="13394" spans="1:2" x14ac:dyDescent="0.4">
      <c r="A13394" s="4"/>
      <c r="B13394" s="4"/>
    </row>
    <row r="13395" spans="1:2" x14ac:dyDescent="0.4">
      <c r="A13395" s="4"/>
      <c r="B13395" s="4"/>
    </row>
    <row r="13396" spans="1:2" x14ac:dyDescent="0.4">
      <c r="A13396" s="4"/>
      <c r="B13396" s="4"/>
    </row>
    <row r="13397" spans="1:2" x14ac:dyDescent="0.4">
      <c r="A13397" s="4"/>
      <c r="B13397" s="4"/>
    </row>
    <row r="13398" spans="1:2" x14ac:dyDescent="0.4">
      <c r="A13398" s="4"/>
      <c r="B13398" s="4"/>
    </row>
    <row r="13399" spans="1:2" x14ac:dyDescent="0.4">
      <c r="A13399" s="4"/>
      <c r="B13399" s="4"/>
    </row>
    <row r="13400" spans="1:2" x14ac:dyDescent="0.4">
      <c r="A13400" s="4"/>
      <c r="B13400" s="4"/>
    </row>
    <row r="13401" spans="1:2" x14ac:dyDescent="0.4">
      <c r="A13401" s="4"/>
      <c r="B13401" s="4"/>
    </row>
    <row r="13402" spans="1:2" x14ac:dyDescent="0.4">
      <c r="A13402" s="4"/>
      <c r="B13402" s="4"/>
    </row>
    <row r="13403" spans="1:2" x14ac:dyDescent="0.4">
      <c r="A13403" s="4"/>
      <c r="B13403" s="4"/>
    </row>
    <row r="13404" spans="1:2" x14ac:dyDescent="0.4">
      <c r="A13404" s="4"/>
      <c r="B13404" s="4"/>
    </row>
    <row r="13405" spans="1:2" x14ac:dyDescent="0.4">
      <c r="A13405" s="4"/>
      <c r="B13405" s="4"/>
    </row>
    <row r="13406" spans="1:2" x14ac:dyDescent="0.4">
      <c r="A13406" s="4"/>
      <c r="B13406" s="4"/>
    </row>
    <row r="13407" spans="1:2" x14ac:dyDescent="0.4">
      <c r="A13407" s="4"/>
      <c r="B13407" s="4"/>
    </row>
    <row r="13408" spans="1:2" x14ac:dyDescent="0.4">
      <c r="A13408" s="4"/>
      <c r="B13408" s="4"/>
    </row>
    <row r="13409" spans="1:2" x14ac:dyDescent="0.4">
      <c r="A13409" s="4"/>
      <c r="B13409" s="4"/>
    </row>
    <row r="13410" spans="1:2" x14ac:dyDescent="0.4">
      <c r="A13410" s="4"/>
      <c r="B13410" s="4"/>
    </row>
    <row r="13411" spans="1:2" x14ac:dyDescent="0.4">
      <c r="A13411" s="4"/>
      <c r="B13411" s="4"/>
    </row>
    <row r="13412" spans="1:2" x14ac:dyDescent="0.4">
      <c r="A13412" s="4"/>
      <c r="B13412" s="4"/>
    </row>
    <row r="13413" spans="1:2" x14ac:dyDescent="0.4">
      <c r="A13413" s="4"/>
      <c r="B13413" s="4"/>
    </row>
    <row r="13414" spans="1:2" x14ac:dyDescent="0.4">
      <c r="A13414" s="4"/>
      <c r="B13414" s="4"/>
    </row>
    <row r="13415" spans="1:2" x14ac:dyDescent="0.4">
      <c r="A13415" s="4"/>
      <c r="B13415" s="4"/>
    </row>
    <row r="13416" spans="1:2" x14ac:dyDescent="0.4">
      <c r="A13416" s="4"/>
      <c r="B13416" s="4"/>
    </row>
    <row r="13417" spans="1:2" x14ac:dyDescent="0.4">
      <c r="A13417" s="4"/>
      <c r="B13417" s="4"/>
    </row>
    <row r="13418" spans="1:2" x14ac:dyDescent="0.4">
      <c r="A13418" s="4"/>
      <c r="B13418" s="4"/>
    </row>
    <row r="13419" spans="1:2" x14ac:dyDescent="0.4">
      <c r="A13419" s="4"/>
      <c r="B13419" s="4"/>
    </row>
    <row r="13420" spans="1:2" x14ac:dyDescent="0.4">
      <c r="A13420" s="4"/>
      <c r="B13420" s="4"/>
    </row>
    <row r="13421" spans="1:2" x14ac:dyDescent="0.4">
      <c r="A13421" s="4"/>
      <c r="B13421" s="4"/>
    </row>
    <row r="13422" spans="1:2" x14ac:dyDescent="0.4">
      <c r="A13422" s="4"/>
      <c r="B13422" s="4"/>
    </row>
    <row r="13423" spans="1:2" x14ac:dyDescent="0.4">
      <c r="A13423" s="4"/>
      <c r="B13423" s="4"/>
    </row>
    <row r="13424" spans="1:2" x14ac:dyDescent="0.4">
      <c r="A13424" s="4"/>
      <c r="B13424" s="4"/>
    </row>
    <row r="13425" spans="1:2" x14ac:dyDescent="0.4">
      <c r="A13425" s="4"/>
      <c r="B13425" s="4"/>
    </row>
    <row r="13426" spans="1:2" x14ac:dyDescent="0.4">
      <c r="A13426" s="4"/>
      <c r="B13426" s="4"/>
    </row>
    <row r="13427" spans="1:2" x14ac:dyDescent="0.4">
      <c r="A13427" s="4"/>
      <c r="B13427" s="4"/>
    </row>
    <row r="13428" spans="1:2" x14ac:dyDescent="0.4">
      <c r="A13428" s="4"/>
      <c r="B13428" s="4"/>
    </row>
    <row r="13429" spans="1:2" x14ac:dyDescent="0.4">
      <c r="A13429" s="4"/>
      <c r="B13429" s="4"/>
    </row>
    <row r="13430" spans="1:2" x14ac:dyDescent="0.4">
      <c r="A13430" s="4"/>
      <c r="B13430" s="4"/>
    </row>
    <row r="13431" spans="1:2" x14ac:dyDescent="0.4">
      <c r="A13431" s="4"/>
      <c r="B13431" s="4"/>
    </row>
    <row r="13432" spans="1:2" x14ac:dyDescent="0.4">
      <c r="A13432" s="4"/>
      <c r="B13432" s="4"/>
    </row>
    <row r="13433" spans="1:2" x14ac:dyDescent="0.4">
      <c r="A13433" s="4"/>
      <c r="B13433" s="4"/>
    </row>
    <row r="13434" spans="1:2" x14ac:dyDescent="0.4">
      <c r="A13434" s="4"/>
      <c r="B13434" s="4"/>
    </row>
    <row r="13435" spans="1:2" x14ac:dyDescent="0.4">
      <c r="A13435" s="4"/>
      <c r="B13435" s="4"/>
    </row>
    <row r="13436" spans="1:2" x14ac:dyDescent="0.4">
      <c r="A13436" s="4"/>
      <c r="B13436" s="4"/>
    </row>
    <row r="13437" spans="1:2" x14ac:dyDescent="0.4">
      <c r="A13437" s="4"/>
      <c r="B13437" s="4"/>
    </row>
    <row r="13438" spans="1:2" x14ac:dyDescent="0.4">
      <c r="A13438" s="4"/>
      <c r="B13438" s="4"/>
    </row>
    <row r="13439" spans="1:2" x14ac:dyDescent="0.4">
      <c r="A13439" s="4"/>
      <c r="B13439" s="4"/>
    </row>
    <row r="13440" spans="1:2" x14ac:dyDescent="0.4">
      <c r="A13440" s="4"/>
      <c r="B13440" s="4"/>
    </row>
    <row r="13441" spans="1:2" x14ac:dyDescent="0.4">
      <c r="A13441" s="4"/>
      <c r="B13441" s="4"/>
    </row>
    <row r="13442" spans="1:2" x14ac:dyDescent="0.4">
      <c r="A13442" s="4"/>
      <c r="B13442" s="4"/>
    </row>
    <row r="13443" spans="1:2" x14ac:dyDescent="0.4">
      <c r="A13443" s="4"/>
      <c r="B13443" s="4"/>
    </row>
    <row r="13444" spans="1:2" x14ac:dyDescent="0.4">
      <c r="A13444" s="4"/>
      <c r="B13444" s="4"/>
    </row>
    <row r="13445" spans="1:2" x14ac:dyDescent="0.4">
      <c r="A13445" s="4"/>
      <c r="B13445" s="4"/>
    </row>
    <row r="13446" spans="1:2" x14ac:dyDescent="0.4">
      <c r="A13446" s="4"/>
      <c r="B13446" s="4"/>
    </row>
    <row r="13447" spans="1:2" x14ac:dyDescent="0.4">
      <c r="A13447" s="4"/>
      <c r="B13447" s="4"/>
    </row>
    <row r="13448" spans="1:2" x14ac:dyDescent="0.4">
      <c r="A13448" s="4"/>
      <c r="B13448" s="4"/>
    </row>
    <row r="13449" spans="1:2" x14ac:dyDescent="0.4">
      <c r="A13449" s="4"/>
      <c r="B13449" s="4"/>
    </row>
    <row r="13450" spans="1:2" x14ac:dyDescent="0.4">
      <c r="A13450" s="4"/>
      <c r="B13450" s="4"/>
    </row>
    <row r="13451" spans="1:2" x14ac:dyDescent="0.4">
      <c r="A13451" s="4"/>
      <c r="B13451" s="4"/>
    </row>
    <row r="13452" spans="1:2" x14ac:dyDescent="0.4">
      <c r="A13452" s="4"/>
      <c r="B13452" s="4"/>
    </row>
    <row r="13453" spans="1:2" x14ac:dyDescent="0.4">
      <c r="A13453" s="4"/>
      <c r="B13453" s="4"/>
    </row>
    <row r="13454" spans="1:2" x14ac:dyDescent="0.4">
      <c r="A13454" s="4"/>
      <c r="B13454" s="4"/>
    </row>
    <row r="13455" spans="1:2" x14ac:dyDescent="0.4">
      <c r="A13455" s="4"/>
      <c r="B13455" s="4"/>
    </row>
    <row r="13456" spans="1:2" x14ac:dyDescent="0.4">
      <c r="A13456" s="4"/>
      <c r="B13456" s="4"/>
    </row>
    <row r="13457" spans="1:2" x14ac:dyDescent="0.4">
      <c r="A13457" s="4"/>
      <c r="B13457" s="4"/>
    </row>
    <row r="13458" spans="1:2" x14ac:dyDescent="0.4">
      <c r="A13458" s="4"/>
      <c r="B13458" s="4"/>
    </row>
    <row r="13459" spans="1:2" x14ac:dyDescent="0.4">
      <c r="A13459" s="4"/>
      <c r="B13459" s="4"/>
    </row>
    <row r="13460" spans="1:2" x14ac:dyDescent="0.4">
      <c r="A13460" s="4"/>
      <c r="B13460" s="4"/>
    </row>
    <row r="13461" spans="1:2" x14ac:dyDescent="0.4">
      <c r="A13461" s="4"/>
      <c r="B13461" s="4"/>
    </row>
    <row r="13462" spans="1:2" x14ac:dyDescent="0.4">
      <c r="A13462" s="4"/>
      <c r="B13462" s="4"/>
    </row>
    <row r="13463" spans="1:2" x14ac:dyDescent="0.4">
      <c r="A13463" s="4"/>
      <c r="B13463" s="4"/>
    </row>
    <row r="13464" spans="1:2" x14ac:dyDescent="0.4">
      <c r="A13464" s="4"/>
      <c r="B13464" s="4"/>
    </row>
    <row r="13465" spans="1:2" x14ac:dyDescent="0.4">
      <c r="A13465" s="4"/>
      <c r="B13465" s="4"/>
    </row>
    <row r="13466" spans="1:2" x14ac:dyDescent="0.4">
      <c r="A13466" s="4"/>
      <c r="B13466" s="4"/>
    </row>
    <row r="13467" spans="1:2" x14ac:dyDescent="0.4">
      <c r="A13467" s="4"/>
      <c r="B13467" s="4"/>
    </row>
    <row r="13468" spans="1:2" x14ac:dyDescent="0.4">
      <c r="A13468" s="4"/>
      <c r="B13468" s="4"/>
    </row>
    <row r="13469" spans="1:2" x14ac:dyDescent="0.4">
      <c r="A13469" s="4"/>
      <c r="B13469" s="4"/>
    </row>
    <row r="13470" spans="1:2" x14ac:dyDescent="0.4">
      <c r="A13470" s="4"/>
      <c r="B13470" s="4"/>
    </row>
    <row r="13471" spans="1:2" x14ac:dyDescent="0.4">
      <c r="A13471" s="4"/>
      <c r="B13471" s="4"/>
    </row>
    <row r="13472" spans="1:2" x14ac:dyDescent="0.4">
      <c r="A13472" s="4"/>
      <c r="B13472" s="4"/>
    </row>
    <row r="13473" spans="1:2" x14ac:dyDescent="0.4">
      <c r="A13473" s="4"/>
      <c r="B13473" s="4"/>
    </row>
    <row r="13474" spans="1:2" x14ac:dyDescent="0.4">
      <c r="A13474" s="4"/>
      <c r="B13474" s="4"/>
    </row>
    <row r="13475" spans="1:2" x14ac:dyDescent="0.4">
      <c r="A13475" s="4"/>
      <c r="B13475" s="4"/>
    </row>
    <row r="13476" spans="1:2" x14ac:dyDescent="0.4">
      <c r="A13476" s="4"/>
      <c r="B13476" s="4"/>
    </row>
    <row r="13477" spans="1:2" x14ac:dyDescent="0.4">
      <c r="A13477" s="4"/>
      <c r="B13477" s="4"/>
    </row>
    <row r="13478" spans="1:2" x14ac:dyDescent="0.4">
      <c r="A13478" s="4"/>
      <c r="B13478" s="4"/>
    </row>
    <row r="13479" spans="1:2" x14ac:dyDescent="0.4">
      <c r="A13479" s="4"/>
      <c r="B13479" s="4"/>
    </row>
    <row r="13480" spans="1:2" x14ac:dyDescent="0.4">
      <c r="A13480" s="4"/>
      <c r="B13480" s="4"/>
    </row>
    <row r="13481" spans="1:2" x14ac:dyDescent="0.4">
      <c r="A13481" s="4"/>
      <c r="B13481" s="4"/>
    </row>
    <row r="13482" spans="1:2" x14ac:dyDescent="0.4">
      <c r="A13482" s="4"/>
      <c r="B13482" s="4"/>
    </row>
    <row r="13483" spans="1:2" x14ac:dyDescent="0.4">
      <c r="A13483" s="4"/>
      <c r="B13483" s="4"/>
    </row>
    <row r="13484" spans="1:2" x14ac:dyDescent="0.4">
      <c r="A13484" s="4"/>
      <c r="B13484" s="4"/>
    </row>
    <row r="13485" spans="1:2" x14ac:dyDescent="0.4">
      <c r="A13485" s="4"/>
      <c r="B13485" s="4"/>
    </row>
    <row r="13486" spans="1:2" x14ac:dyDescent="0.4">
      <c r="A13486" s="4"/>
      <c r="B13486" s="4"/>
    </row>
    <row r="13487" spans="1:2" x14ac:dyDescent="0.4">
      <c r="A13487" s="4"/>
      <c r="B13487" s="4"/>
    </row>
    <row r="13488" spans="1:2" x14ac:dyDescent="0.4">
      <c r="A13488" s="4"/>
      <c r="B13488" s="4"/>
    </row>
    <row r="13489" spans="1:2" x14ac:dyDescent="0.4">
      <c r="A13489" s="4"/>
      <c r="B13489" s="4"/>
    </row>
    <row r="13490" spans="1:2" x14ac:dyDescent="0.4">
      <c r="A13490" s="4"/>
      <c r="B13490" s="4"/>
    </row>
    <row r="13491" spans="1:2" x14ac:dyDescent="0.4">
      <c r="A13491" s="4"/>
      <c r="B13491" s="4"/>
    </row>
    <row r="13492" spans="1:2" x14ac:dyDescent="0.4">
      <c r="A13492" s="4"/>
      <c r="B13492" s="4"/>
    </row>
    <row r="13493" spans="1:2" x14ac:dyDescent="0.4">
      <c r="A13493" s="4"/>
      <c r="B13493" s="4"/>
    </row>
    <row r="13494" spans="1:2" x14ac:dyDescent="0.4">
      <c r="A13494" s="4"/>
      <c r="B13494" s="4"/>
    </row>
    <row r="13495" spans="1:2" x14ac:dyDescent="0.4">
      <c r="A13495" s="4"/>
      <c r="B13495" s="4"/>
    </row>
    <row r="13496" spans="1:2" x14ac:dyDescent="0.4">
      <c r="A13496" s="4"/>
      <c r="B13496" s="4"/>
    </row>
    <row r="13497" spans="1:2" x14ac:dyDescent="0.4">
      <c r="A13497" s="4"/>
      <c r="B13497" s="4"/>
    </row>
    <row r="13498" spans="1:2" x14ac:dyDescent="0.4">
      <c r="A13498" s="4"/>
      <c r="B13498" s="4"/>
    </row>
    <row r="13499" spans="1:2" x14ac:dyDescent="0.4">
      <c r="A13499" s="4"/>
      <c r="B13499" s="4"/>
    </row>
    <row r="13500" spans="1:2" x14ac:dyDescent="0.4">
      <c r="A13500" s="4"/>
      <c r="B13500" s="4"/>
    </row>
    <row r="13501" spans="1:2" x14ac:dyDescent="0.4">
      <c r="A13501" s="4"/>
      <c r="B13501" s="4"/>
    </row>
    <row r="13502" spans="1:2" x14ac:dyDescent="0.4">
      <c r="A13502" s="4"/>
      <c r="B13502" s="4"/>
    </row>
    <row r="13503" spans="1:2" x14ac:dyDescent="0.4">
      <c r="A13503" s="4"/>
      <c r="B13503" s="4"/>
    </row>
    <row r="13504" spans="1:2" x14ac:dyDescent="0.4">
      <c r="A13504" s="4"/>
      <c r="B13504" s="4"/>
    </row>
    <row r="13505" spans="1:2" x14ac:dyDescent="0.4">
      <c r="A13505" s="4"/>
      <c r="B13505" s="4"/>
    </row>
    <row r="13506" spans="1:2" x14ac:dyDescent="0.4">
      <c r="A13506" s="4"/>
      <c r="B13506" s="4"/>
    </row>
    <row r="13507" spans="1:2" x14ac:dyDescent="0.4">
      <c r="A13507" s="4"/>
      <c r="B13507" s="4"/>
    </row>
    <row r="13508" spans="1:2" x14ac:dyDescent="0.4">
      <c r="A13508" s="4"/>
      <c r="B13508" s="4"/>
    </row>
    <row r="13509" spans="1:2" x14ac:dyDescent="0.4">
      <c r="A13509" s="4"/>
      <c r="B13509" s="4"/>
    </row>
    <row r="13510" spans="1:2" x14ac:dyDescent="0.4">
      <c r="A13510" s="4"/>
      <c r="B13510" s="4"/>
    </row>
    <row r="13511" spans="1:2" x14ac:dyDescent="0.4">
      <c r="A13511" s="4"/>
      <c r="B13511" s="4"/>
    </row>
    <row r="13512" spans="1:2" x14ac:dyDescent="0.4">
      <c r="A13512" s="4"/>
      <c r="B13512" s="4"/>
    </row>
    <row r="13513" spans="1:2" x14ac:dyDescent="0.4">
      <c r="A13513" s="4"/>
      <c r="B13513" s="4"/>
    </row>
    <row r="13514" spans="1:2" x14ac:dyDescent="0.4">
      <c r="A13514" s="4"/>
      <c r="B13514" s="4"/>
    </row>
    <row r="13515" spans="1:2" x14ac:dyDescent="0.4">
      <c r="A13515" s="4"/>
      <c r="B13515" s="4"/>
    </row>
    <row r="13516" spans="1:2" x14ac:dyDescent="0.4">
      <c r="A13516" s="4"/>
      <c r="B13516" s="4"/>
    </row>
    <row r="13517" spans="1:2" x14ac:dyDescent="0.4">
      <c r="A13517" s="4"/>
      <c r="B13517" s="4"/>
    </row>
    <row r="13518" spans="1:2" x14ac:dyDescent="0.4">
      <c r="A13518" s="4"/>
      <c r="B13518" s="4"/>
    </row>
    <row r="13519" spans="1:2" x14ac:dyDescent="0.4">
      <c r="A13519" s="4"/>
      <c r="B13519" s="4"/>
    </row>
    <row r="13520" spans="1:2" x14ac:dyDescent="0.4">
      <c r="A13520" s="4"/>
      <c r="B13520" s="4"/>
    </row>
    <row r="13521" spans="1:2" x14ac:dyDescent="0.4">
      <c r="A13521" s="4"/>
      <c r="B13521" s="4"/>
    </row>
    <row r="13522" spans="1:2" x14ac:dyDescent="0.4">
      <c r="A13522" s="4"/>
      <c r="B13522" s="4"/>
    </row>
    <row r="13523" spans="1:2" x14ac:dyDescent="0.4">
      <c r="A13523" s="4"/>
      <c r="B13523" s="4"/>
    </row>
    <row r="13524" spans="1:2" x14ac:dyDescent="0.4">
      <c r="A13524" s="4"/>
      <c r="B13524" s="4"/>
    </row>
    <row r="13525" spans="1:2" x14ac:dyDescent="0.4">
      <c r="A13525" s="4"/>
      <c r="B13525" s="4"/>
    </row>
    <row r="13526" spans="1:2" x14ac:dyDescent="0.4">
      <c r="A13526" s="4"/>
      <c r="B13526" s="4"/>
    </row>
    <row r="13527" spans="1:2" x14ac:dyDescent="0.4">
      <c r="A13527" s="4"/>
      <c r="B13527" s="4"/>
    </row>
    <row r="13528" spans="1:2" x14ac:dyDescent="0.4">
      <c r="A13528" s="4"/>
      <c r="B13528" s="4"/>
    </row>
    <row r="13529" spans="1:2" x14ac:dyDescent="0.4">
      <c r="A13529" s="4"/>
      <c r="B13529" s="4"/>
    </row>
    <row r="13530" spans="1:2" x14ac:dyDescent="0.4">
      <c r="A13530" s="4"/>
      <c r="B13530" s="4"/>
    </row>
    <row r="13531" spans="1:2" x14ac:dyDescent="0.4">
      <c r="A13531" s="4"/>
      <c r="B13531" s="4"/>
    </row>
    <row r="13532" spans="1:2" x14ac:dyDescent="0.4">
      <c r="A13532" s="4"/>
      <c r="B13532" s="4"/>
    </row>
    <row r="13533" spans="1:2" x14ac:dyDescent="0.4">
      <c r="A13533" s="4"/>
      <c r="B13533" s="4"/>
    </row>
    <row r="13534" spans="1:2" x14ac:dyDescent="0.4">
      <c r="A13534" s="4"/>
      <c r="B13534" s="4"/>
    </row>
    <row r="13535" spans="1:2" x14ac:dyDescent="0.4">
      <c r="A13535" s="4"/>
      <c r="B13535" s="4"/>
    </row>
    <row r="13536" spans="1:2" x14ac:dyDescent="0.4">
      <c r="A13536" s="4"/>
      <c r="B13536" s="4"/>
    </row>
    <row r="13537" spans="1:2" x14ac:dyDescent="0.4">
      <c r="A13537" s="4"/>
      <c r="B13537" s="4"/>
    </row>
    <row r="13538" spans="1:2" x14ac:dyDescent="0.4">
      <c r="A13538" s="4"/>
      <c r="B13538" s="4"/>
    </row>
    <row r="13539" spans="1:2" x14ac:dyDescent="0.4">
      <c r="A13539" s="4"/>
      <c r="B13539" s="4"/>
    </row>
    <row r="13540" spans="1:2" x14ac:dyDescent="0.4">
      <c r="A13540" s="4"/>
      <c r="B13540" s="4"/>
    </row>
    <row r="13541" spans="1:2" x14ac:dyDescent="0.4">
      <c r="A13541" s="4"/>
      <c r="B13541" s="4"/>
    </row>
    <row r="13542" spans="1:2" x14ac:dyDescent="0.4">
      <c r="A13542" s="4"/>
      <c r="B13542" s="4"/>
    </row>
    <row r="13543" spans="1:2" x14ac:dyDescent="0.4">
      <c r="A13543" s="4"/>
      <c r="B13543" s="4"/>
    </row>
    <row r="13544" spans="1:2" x14ac:dyDescent="0.4">
      <c r="A13544" s="4"/>
      <c r="B13544" s="4"/>
    </row>
    <row r="13545" spans="1:2" x14ac:dyDescent="0.4">
      <c r="A13545" s="4"/>
      <c r="B13545" s="4"/>
    </row>
    <row r="13546" spans="1:2" x14ac:dyDescent="0.4">
      <c r="A13546" s="4"/>
      <c r="B13546" s="4"/>
    </row>
    <row r="13547" spans="1:2" x14ac:dyDescent="0.4">
      <c r="A13547" s="4"/>
      <c r="B13547" s="4"/>
    </row>
    <row r="13548" spans="1:2" x14ac:dyDescent="0.4">
      <c r="A13548" s="4"/>
      <c r="B13548" s="4"/>
    </row>
    <row r="13549" spans="1:2" x14ac:dyDescent="0.4">
      <c r="A13549" s="4"/>
      <c r="B13549" s="4"/>
    </row>
    <row r="13550" spans="1:2" x14ac:dyDescent="0.4">
      <c r="A13550" s="4"/>
      <c r="B13550" s="4"/>
    </row>
    <row r="13551" spans="1:2" x14ac:dyDescent="0.4">
      <c r="A13551" s="4"/>
      <c r="B13551" s="4"/>
    </row>
    <row r="13552" spans="1:2" x14ac:dyDescent="0.4">
      <c r="A13552" s="4"/>
      <c r="B13552" s="4"/>
    </row>
    <row r="13553" spans="1:2" x14ac:dyDescent="0.4">
      <c r="A13553" s="4"/>
      <c r="B13553" s="4"/>
    </row>
    <row r="13554" spans="1:2" x14ac:dyDescent="0.4">
      <c r="A13554" s="4"/>
      <c r="B13554" s="4"/>
    </row>
    <row r="13555" spans="1:2" x14ac:dyDescent="0.4">
      <c r="A13555" s="4"/>
      <c r="B13555" s="4"/>
    </row>
    <row r="13556" spans="1:2" x14ac:dyDescent="0.4">
      <c r="A13556" s="4"/>
      <c r="B13556" s="4"/>
    </row>
    <row r="13557" spans="1:2" x14ac:dyDescent="0.4">
      <c r="A13557" s="4"/>
      <c r="B13557" s="4"/>
    </row>
    <row r="13558" spans="1:2" x14ac:dyDescent="0.4">
      <c r="A13558" s="4"/>
      <c r="B13558" s="4"/>
    </row>
    <row r="13559" spans="1:2" x14ac:dyDescent="0.4">
      <c r="A13559" s="4"/>
      <c r="B13559" s="4"/>
    </row>
    <row r="13560" spans="1:2" x14ac:dyDescent="0.4">
      <c r="A13560" s="4"/>
      <c r="B13560" s="4"/>
    </row>
    <row r="13561" spans="1:2" x14ac:dyDescent="0.4">
      <c r="A13561" s="4"/>
      <c r="B13561" s="4"/>
    </row>
    <row r="13562" spans="1:2" x14ac:dyDescent="0.4">
      <c r="A13562" s="4"/>
      <c r="B13562" s="4"/>
    </row>
    <row r="13563" spans="1:2" x14ac:dyDescent="0.4">
      <c r="A13563" s="4"/>
      <c r="B13563" s="4"/>
    </row>
    <row r="13564" spans="1:2" x14ac:dyDescent="0.4">
      <c r="A13564" s="4"/>
      <c r="B13564" s="4"/>
    </row>
    <row r="13565" spans="1:2" x14ac:dyDescent="0.4">
      <c r="A13565" s="4"/>
      <c r="B13565" s="4"/>
    </row>
    <row r="13566" spans="1:2" x14ac:dyDescent="0.4">
      <c r="A13566" s="4"/>
      <c r="B13566" s="4"/>
    </row>
    <row r="13567" spans="1:2" x14ac:dyDescent="0.4">
      <c r="A13567" s="4"/>
      <c r="B13567" s="4"/>
    </row>
    <row r="13568" spans="1:2" x14ac:dyDescent="0.4">
      <c r="A13568" s="4"/>
      <c r="B13568" s="4"/>
    </row>
    <row r="13569" spans="1:2" x14ac:dyDescent="0.4">
      <c r="A13569" s="4"/>
      <c r="B13569" s="4"/>
    </row>
    <row r="13570" spans="1:2" x14ac:dyDescent="0.4">
      <c r="A13570" s="4"/>
      <c r="B13570" s="4"/>
    </row>
    <row r="13571" spans="1:2" x14ac:dyDescent="0.4">
      <c r="A13571" s="4"/>
      <c r="B13571" s="4"/>
    </row>
    <row r="13572" spans="1:2" x14ac:dyDescent="0.4">
      <c r="A13572" s="4"/>
      <c r="B13572" s="4"/>
    </row>
    <row r="13573" spans="1:2" x14ac:dyDescent="0.4">
      <c r="A13573" s="4"/>
      <c r="B13573" s="4"/>
    </row>
    <row r="13574" spans="1:2" x14ac:dyDescent="0.4">
      <c r="A13574" s="4"/>
      <c r="B13574" s="4"/>
    </row>
    <row r="13575" spans="1:2" x14ac:dyDescent="0.4">
      <c r="A13575" s="4"/>
      <c r="B13575" s="4"/>
    </row>
    <row r="13576" spans="1:2" x14ac:dyDescent="0.4">
      <c r="A13576" s="4"/>
      <c r="B13576" s="4"/>
    </row>
    <row r="13577" spans="1:2" x14ac:dyDescent="0.4">
      <c r="A13577" s="4"/>
      <c r="B13577" s="4"/>
    </row>
    <row r="13578" spans="1:2" x14ac:dyDescent="0.4">
      <c r="A13578" s="4"/>
      <c r="B13578" s="4"/>
    </row>
    <row r="13579" spans="1:2" x14ac:dyDescent="0.4">
      <c r="A13579" s="4"/>
      <c r="B13579" s="4"/>
    </row>
    <row r="13580" spans="1:2" x14ac:dyDescent="0.4">
      <c r="A13580" s="4"/>
      <c r="B13580" s="4"/>
    </row>
    <row r="13581" spans="1:2" x14ac:dyDescent="0.4">
      <c r="A13581" s="4"/>
      <c r="B13581" s="4"/>
    </row>
    <row r="13582" spans="1:2" x14ac:dyDescent="0.4">
      <c r="A13582" s="4"/>
      <c r="B13582" s="4"/>
    </row>
    <row r="13583" spans="1:2" x14ac:dyDescent="0.4">
      <c r="A13583" s="4"/>
      <c r="B13583" s="4"/>
    </row>
    <row r="13584" spans="1:2" x14ac:dyDescent="0.4">
      <c r="A13584" s="4"/>
      <c r="B13584" s="4"/>
    </row>
    <row r="13585" spans="1:2" x14ac:dyDescent="0.4">
      <c r="A13585" s="4"/>
      <c r="B13585" s="4"/>
    </row>
    <row r="13586" spans="1:2" x14ac:dyDescent="0.4">
      <c r="A13586" s="4"/>
      <c r="B13586" s="4"/>
    </row>
    <row r="13587" spans="1:2" x14ac:dyDescent="0.4">
      <c r="A13587" s="4"/>
      <c r="B13587" s="4"/>
    </row>
    <row r="13588" spans="1:2" x14ac:dyDescent="0.4">
      <c r="A13588" s="4"/>
      <c r="B13588" s="4"/>
    </row>
    <row r="13589" spans="1:2" x14ac:dyDescent="0.4">
      <c r="A13589" s="4"/>
      <c r="B13589" s="4"/>
    </row>
    <row r="13590" spans="1:2" x14ac:dyDescent="0.4">
      <c r="A13590" s="4"/>
      <c r="B13590" s="4"/>
    </row>
    <row r="13591" spans="1:2" x14ac:dyDescent="0.4">
      <c r="A13591" s="4"/>
      <c r="B13591" s="4"/>
    </row>
    <row r="13592" spans="1:2" x14ac:dyDescent="0.4">
      <c r="A13592" s="4"/>
      <c r="B13592" s="4"/>
    </row>
    <row r="13593" spans="1:2" x14ac:dyDescent="0.4">
      <c r="A13593" s="4"/>
      <c r="B13593" s="4"/>
    </row>
    <row r="13594" spans="1:2" x14ac:dyDescent="0.4">
      <c r="A13594" s="4"/>
      <c r="B13594" s="4"/>
    </row>
    <row r="13595" spans="1:2" x14ac:dyDescent="0.4">
      <c r="A13595" s="4"/>
      <c r="B13595" s="4"/>
    </row>
    <row r="13596" spans="1:2" x14ac:dyDescent="0.4">
      <c r="A13596" s="4"/>
      <c r="B13596" s="4"/>
    </row>
    <row r="13597" spans="1:2" x14ac:dyDescent="0.4">
      <c r="A13597" s="4"/>
      <c r="B13597" s="4"/>
    </row>
    <row r="13598" spans="1:2" x14ac:dyDescent="0.4">
      <c r="A13598" s="4"/>
      <c r="B13598" s="4"/>
    </row>
    <row r="13599" spans="1:2" x14ac:dyDescent="0.4">
      <c r="A13599" s="4"/>
      <c r="B13599" s="4"/>
    </row>
    <row r="13600" spans="1:2" x14ac:dyDescent="0.4">
      <c r="A13600" s="4"/>
      <c r="B13600" s="4"/>
    </row>
    <row r="13601" spans="1:2" x14ac:dyDescent="0.4">
      <c r="A13601" s="4"/>
      <c r="B13601" s="4"/>
    </row>
    <row r="13602" spans="1:2" x14ac:dyDescent="0.4">
      <c r="A13602" s="4"/>
      <c r="B13602" s="4"/>
    </row>
    <row r="13603" spans="1:2" x14ac:dyDescent="0.4">
      <c r="A13603" s="4"/>
      <c r="B13603" s="4"/>
    </row>
    <row r="13604" spans="1:2" x14ac:dyDescent="0.4">
      <c r="A13604" s="4"/>
      <c r="B13604" s="4"/>
    </row>
    <row r="13605" spans="1:2" x14ac:dyDescent="0.4">
      <c r="A13605" s="4"/>
      <c r="B13605" s="4"/>
    </row>
    <row r="13606" spans="1:2" x14ac:dyDescent="0.4">
      <c r="A13606" s="4"/>
      <c r="B13606" s="4"/>
    </row>
    <row r="13607" spans="1:2" x14ac:dyDescent="0.4">
      <c r="A13607" s="4"/>
      <c r="B13607" s="4"/>
    </row>
    <row r="13608" spans="1:2" x14ac:dyDescent="0.4">
      <c r="A13608" s="4"/>
      <c r="B13608" s="4"/>
    </row>
    <row r="13609" spans="1:2" x14ac:dyDescent="0.4">
      <c r="A13609" s="4"/>
      <c r="B13609" s="4"/>
    </row>
    <row r="13610" spans="1:2" x14ac:dyDescent="0.4">
      <c r="A13610" s="4"/>
      <c r="B13610" s="4"/>
    </row>
    <row r="13611" spans="1:2" x14ac:dyDescent="0.4">
      <c r="A13611" s="4"/>
      <c r="B13611" s="4"/>
    </row>
    <row r="13612" spans="1:2" x14ac:dyDescent="0.4">
      <c r="A13612" s="4"/>
      <c r="B13612" s="4"/>
    </row>
    <row r="13613" spans="1:2" x14ac:dyDescent="0.4">
      <c r="A13613" s="4"/>
      <c r="B13613" s="4"/>
    </row>
    <row r="13614" spans="1:2" x14ac:dyDescent="0.4">
      <c r="A13614" s="4"/>
      <c r="B13614" s="4"/>
    </row>
    <row r="13615" spans="1:2" x14ac:dyDescent="0.4">
      <c r="A13615" s="4"/>
      <c r="B13615" s="4"/>
    </row>
    <row r="13616" spans="1:2" x14ac:dyDescent="0.4">
      <c r="A13616" s="4"/>
      <c r="B13616" s="4"/>
    </row>
    <row r="13617" spans="1:2" x14ac:dyDescent="0.4">
      <c r="A13617" s="4"/>
      <c r="B13617" s="4"/>
    </row>
    <row r="13618" spans="1:2" x14ac:dyDescent="0.4">
      <c r="A13618" s="4"/>
      <c r="B13618" s="4"/>
    </row>
    <row r="13619" spans="1:2" x14ac:dyDescent="0.4">
      <c r="A13619" s="4"/>
      <c r="B13619" s="4"/>
    </row>
    <row r="13620" spans="1:2" x14ac:dyDescent="0.4">
      <c r="A13620" s="4"/>
      <c r="B13620" s="4"/>
    </row>
    <row r="13621" spans="1:2" x14ac:dyDescent="0.4">
      <c r="A13621" s="4"/>
      <c r="B13621" s="4"/>
    </row>
    <row r="13622" spans="1:2" x14ac:dyDescent="0.4">
      <c r="A13622" s="4"/>
      <c r="B13622" s="4"/>
    </row>
    <row r="13623" spans="1:2" x14ac:dyDescent="0.4">
      <c r="A13623" s="4"/>
      <c r="B13623" s="4"/>
    </row>
    <row r="13624" spans="1:2" x14ac:dyDescent="0.4">
      <c r="A13624" s="4"/>
      <c r="B13624" s="4"/>
    </row>
    <row r="13625" spans="1:2" x14ac:dyDescent="0.4">
      <c r="A13625" s="4"/>
      <c r="B13625" s="4"/>
    </row>
    <row r="13626" spans="1:2" x14ac:dyDescent="0.4">
      <c r="A13626" s="4"/>
      <c r="B13626" s="4"/>
    </row>
    <row r="13627" spans="1:2" x14ac:dyDescent="0.4">
      <c r="A13627" s="4"/>
      <c r="B13627" s="4"/>
    </row>
    <row r="13628" spans="1:2" x14ac:dyDescent="0.4">
      <c r="A13628" s="4"/>
      <c r="B13628" s="4"/>
    </row>
    <row r="13629" spans="1:2" x14ac:dyDescent="0.4">
      <c r="A13629" s="4"/>
      <c r="B13629" s="4"/>
    </row>
    <row r="13630" spans="1:2" x14ac:dyDescent="0.4">
      <c r="A13630" s="4"/>
      <c r="B13630" s="4"/>
    </row>
    <row r="13631" spans="1:2" x14ac:dyDescent="0.4">
      <c r="A13631" s="4"/>
      <c r="B13631" s="4"/>
    </row>
    <row r="13632" spans="1:2" x14ac:dyDescent="0.4">
      <c r="A13632" s="4"/>
      <c r="B13632" s="4"/>
    </row>
    <row r="13633" spans="1:2" x14ac:dyDescent="0.4">
      <c r="A13633" s="4"/>
      <c r="B13633" s="4"/>
    </row>
    <row r="13634" spans="1:2" x14ac:dyDescent="0.4">
      <c r="A13634" s="4"/>
      <c r="B13634" s="4"/>
    </row>
    <row r="13635" spans="1:2" x14ac:dyDescent="0.4">
      <c r="A13635" s="4"/>
      <c r="B13635" s="4"/>
    </row>
    <row r="13636" spans="1:2" x14ac:dyDescent="0.4">
      <c r="A13636" s="4"/>
      <c r="B13636" s="4"/>
    </row>
    <row r="13637" spans="1:2" x14ac:dyDescent="0.4">
      <c r="A13637" s="4"/>
      <c r="B13637" s="4"/>
    </row>
    <row r="13638" spans="1:2" x14ac:dyDescent="0.4">
      <c r="A13638" s="4"/>
      <c r="B13638" s="4"/>
    </row>
    <row r="13639" spans="1:2" x14ac:dyDescent="0.4">
      <c r="A13639" s="4"/>
      <c r="B13639" s="4"/>
    </row>
    <row r="13640" spans="1:2" x14ac:dyDescent="0.4">
      <c r="A13640" s="4"/>
      <c r="B13640" s="4"/>
    </row>
    <row r="13641" spans="1:2" x14ac:dyDescent="0.4">
      <c r="A13641" s="4"/>
      <c r="B13641" s="4"/>
    </row>
    <row r="13642" spans="1:2" x14ac:dyDescent="0.4">
      <c r="A13642" s="4"/>
      <c r="B13642" s="4"/>
    </row>
    <row r="13643" spans="1:2" x14ac:dyDescent="0.4">
      <c r="A13643" s="4"/>
      <c r="B13643" s="4"/>
    </row>
    <row r="13644" spans="1:2" x14ac:dyDescent="0.4">
      <c r="A13644" s="4"/>
      <c r="B13644" s="4"/>
    </row>
    <row r="13645" spans="1:2" x14ac:dyDescent="0.4">
      <c r="A13645" s="4"/>
      <c r="B13645" s="4"/>
    </row>
    <row r="13646" spans="1:2" x14ac:dyDescent="0.4">
      <c r="A13646" s="4"/>
      <c r="B13646" s="4"/>
    </row>
    <row r="13647" spans="1:2" x14ac:dyDescent="0.4">
      <c r="A13647" s="4"/>
      <c r="B13647" s="4"/>
    </row>
    <row r="13648" spans="1:2" x14ac:dyDescent="0.4">
      <c r="A13648" s="4"/>
      <c r="B13648" s="4"/>
    </row>
    <row r="13649" spans="1:2" x14ac:dyDescent="0.4">
      <c r="A13649" s="4"/>
      <c r="B13649" s="4"/>
    </row>
    <row r="13650" spans="1:2" x14ac:dyDescent="0.4">
      <c r="A13650" s="4"/>
      <c r="B13650" s="4"/>
    </row>
    <row r="13651" spans="1:2" x14ac:dyDescent="0.4">
      <c r="A13651" s="4"/>
      <c r="B13651" s="4"/>
    </row>
    <row r="13652" spans="1:2" x14ac:dyDescent="0.4">
      <c r="A13652" s="4"/>
      <c r="B13652" s="4"/>
    </row>
    <row r="13653" spans="1:2" x14ac:dyDescent="0.4">
      <c r="A13653" s="4"/>
      <c r="B13653" s="4"/>
    </row>
    <row r="13654" spans="1:2" x14ac:dyDescent="0.4">
      <c r="A13654" s="4"/>
      <c r="B13654" s="4"/>
    </row>
    <row r="13655" spans="1:2" x14ac:dyDescent="0.4">
      <c r="A13655" s="4"/>
      <c r="B13655" s="4"/>
    </row>
    <row r="13656" spans="1:2" x14ac:dyDescent="0.4">
      <c r="A13656" s="4"/>
      <c r="B13656" s="4"/>
    </row>
    <row r="13657" spans="1:2" x14ac:dyDescent="0.4">
      <c r="A13657" s="4"/>
      <c r="B13657" s="4"/>
    </row>
    <row r="13658" spans="1:2" x14ac:dyDescent="0.4">
      <c r="A13658" s="4"/>
      <c r="B13658" s="4"/>
    </row>
    <row r="13659" spans="1:2" x14ac:dyDescent="0.4">
      <c r="A13659" s="4"/>
      <c r="B13659" s="4"/>
    </row>
    <row r="13660" spans="1:2" x14ac:dyDescent="0.4">
      <c r="A13660" s="4"/>
      <c r="B13660" s="4"/>
    </row>
    <row r="13661" spans="1:2" x14ac:dyDescent="0.4">
      <c r="A13661" s="4"/>
      <c r="B13661" s="4"/>
    </row>
    <row r="13662" spans="1:2" x14ac:dyDescent="0.4">
      <c r="A13662" s="4"/>
      <c r="B13662" s="4"/>
    </row>
    <row r="13663" spans="1:2" x14ac:dyDescent="0.4">
      <c r="A13663" s="4"/>
      <c r="B13663" s="4"/>
    </row>
    <row r="13664" spans="1:2" x14ac:dyDescent="0.4">
      <c r="A13664" s="4"/>
      <c r="B13664" s="4"/>
    </row>
    <row r="13665" spans="1:2" x14ac:dyDescent="0.4">
      <c r="A13665" s="4"/>
      <c r="B13665" s="4"/>
    </row>
    <row r="13666" spans="1:2" x14ac:dyDescent="0.4">
      <c r="A13666" s="4"/>
      <c r="B13666" s="4"/>
    </row>
    <row r="13667" spans="1:2" x14ac:dyDescent="0.4">
      <c r="A13667" s="4"/>
      <c r="B13667" s="4"/>
    </row>
    <row r="13668" spans="1:2" x14ac:dyDescent="0.4">
      <c r="A13668" s="4"/>
      <c r="B13668" s="4"/>
    </row>
    <row r="13669" spans="1:2" x14ac:dyDescent="0.4">
      <c r="A13669" s="4"/>
      <c r="B13669" s="4"/>
    </row>
    <row r="13670" spans="1:2" x14ac:dyDescent="0.4">
      <c r="A13670" s="4"/>
      <c r="B13670" s="4"/>
    </row>
    <row r="13671" spans="1:2" x14ac:dyDescent="0.4">
      <c r="A13671" s="4"/>
      <c r="B13671" s="4"/>
    </row>
    <row r="13672" spans="1:2" x14ac:dyDescent="0.4">
      <c r="A13672" s="4"/>
      <c r="B13672" s="4"/>
    </row>
    <row r="13673" spans="1:2" x14ac:dyDescent="0.4">
      <c r="A13673" s="4"/>
      <c r="B13673" s="4"/>
    </row>
    <row r="13674" spans="1:2" x14ac:dyDescent="0.4">
      <c r="A13674" s="4"/>
      <c r="B13674" s="4"/>
    </row>
    <row r="13675" spans="1:2" x14ac:dyDescent="0.4">
      <c r="A13675" s="4"/>
      <c r="B13675" s="4"/>
    </row>
    <row r="13676" spans="1:2" x14ac:dyDescent="0.4">
      <c r="A13676" s="4"/>
      <c r="B13676" s="4"/>
    </row>
    <row r="13677" spans="1:2" x14ac:dyDescent="0.4">
      <c r="A13677" s="4"/>
      <c r="B13677" s="4"/>
    </row>
    <row r="13678" spans="1:2" x14ac:dyDescent="0.4">
      <c r="A13678" s="4"/>
      <c r="B13678" s="4"/>
    </row>
    <row r="13679" spans="1:2" x14ac:dyDescent="0.4">
      <c r="A13679" s="4"/>
      <c r="B13679" s="4"/>
    </row>
    <row r="13680" spans="1:2" x14ac:dyDescent="0.4">
      <c r="A13680" s="4"/>
      <c r="B13680" s="4"/>
    </row>
    <row r="13681" spans="1:2" x14ac:dyDescent="0.4">
      <c r="A13681" s="4"/>
      <c r="B13681" s="4"/>
    </row>
    <row r="13682" spans="1:2" x14ac:dyDescent="0.4">
      <c r="A13682" s="4"/>
      <c r="B13682" s="4"/>
    </row>
    <row r="13683" spans="1:2" x14ac:dyDescent="0.4">
      <c r="A13683" s="4"/>
      <c r="B13683" s="4"/>
    </row>
    <row r="13684" spans="1:2" x14ac:dyDescent="0.4">
      <c r="A13684" s="4"/>
      <c r="B13684" s="4"/>
    </row>
    <row r="13685" spans="1:2" x14ac:dyDescent="0.4">
      <c r="A13685" s="4"/>
      <c r="B13685" s="4"/>
    </row>
    <row r="13686" spans="1:2" x14ac:dyDescent="0.4">
      <c r="A13686" s="4"/>
      <c r="B13686" s="4"/>
    </row>
    <row r="13687" spans="1:2" x14ac:dyDescent="0.4">
      <c r="A13687" s="4"/>
      <c r="B13687" s="4"/>
    </row>
    <row r="13688" spans="1:2" x14ac:dyDescent="0.4">
      <c r="A13688" s="4"/>
      <c r="B13688" s="4"/>
    </row>
    <row r="13689" spans="1:2" x14ac:dyDescent="0.4">
      <c r="A13689" s="4"/>
      <c r="B13689" s="4"/>
    </row>
    <row r="13690" spans="1:2" x14ac:dyDescent="0.4">
      <c r="A13690" s="4"/>
      <c r="B13690" s="4"/>
    </row>
    <row r="13691" spans="1:2" x14ac:dyDescent="0.4">
      <c r="A13691" s="4"/>
      <c r="B13691" s="4"/>
    </row>
    <row r="13692" spans="1:2" x14ac:dyDescent="0.4">
      <c r="A13692" s="4"/>
      <c r="B13692" s="4"/>
    </row>
    <row r="13693" spans="1:2" x14ac:dyDescent="0.4">
      <c r="A13693" s="4"/>
      <c r="B13693" s="4"/>
    </row>
    <row r="13694" spans="1:2" x14ac:dyDescent="0.4">
      <c r="A13694" s="4"/>
      <c r="B13694" s="4"/>
    </row>
    <row r="13695" spans="1:2" x14ac:dyDescent="0.4">
      <c r="A13695" s="4"/>
      <c r="B13695" s="4"/>
    </row>
    <row r="13696" spans="1:2" x14ac:dyDescent="0.4">
      <c r="A13696" s="4"/>
      <c r="B13696" s="4"/>
    </row>
    <row r="13697" spans="1:2" x14ac:dyDescent="0.4">
      <c r="A13697" s="4"/>
      <c r="B13697" s="4"/>
    </row>
    <row r="13698" spans="1:2" x14ac:dyDescent="0.4">
      <c r="A13698" s="4"/>
      <c r="B13698" s="4"/>
    </row>
    <row r="13699" spans="1:2" x14ac:dyDescent="0.4">
      <c r="A13699" s="4"/>
      <c r="B13699" s="4"/>
    </row>
    <row r="13700" spans="1:2" x14ac:dyDescent="0.4">
      <c r="A13700" s="4"/>
      <c r="B13700" s="4"/>
    </row>
    <row r="13701" spans="1:2" x14ac:dyDescent="0.4">
      <c r="A13701" s="4"/>
      <c r="B13701" s="4"/>
    </row>
    <row r="13702" spans="1:2" x14ac:dyDescent="0.4">
      <c r="A13702" s="4"/>
      <c r="B13702" s="4"/>
    </row>
    <row r="13703" spans="1:2" x14ac:dyDescent="0.4">
      <c r="A13703" s="4"/>
      <c r="B13703" s="4"/>
    </row>
    <row r="13704" spans="1:2" x14ac:dyDescent="0.4">
      <c r="A13704" s="4"/>
      <c r="B13704" s="4"/>
    </row>
    <row r="13705" spans="1:2" x14ac:dyDescent="0.4">
      <c r="A13705" s="4"/>
      <c r="B13705" s="4"/>
    </row>
    <row r="13706" spans="1:2" x14ac:dyDescent="0.4">
      <c r="A13706" s="4"/>
      <c r="B13706" s="4"/>
    </row>
    <row r="13707" spans="1:2" x14ac:dyDescent="0.4">
      <c r="A13707" s="4"/>
      <c r="B13707" s="4"/>
    </row>
    <row r="13708" spans="1:2" x14ac:dyDescent="0.4">
      <c r="A13708" s="4"/>
      <c r="B13708" s="4"/>
    </row>
    <row r="13709" spans="1:2" x14ac:dyDescent="0.4">
      <c r="A13709" s="4"/>
      <c r="B13709" s="4"/>
    </row>
    <row r="13710" spans="1:2" x14ac:dyDescent="0.4">
      <c r="A13710" s="4"/>
      <c r="B13710" s="4"/>
    </row>
    <row r="13711" spans="1:2" x14ac:dyDescent="0.4">
      <c r="A13711" s="4"/>
      <c r="B13711" s="4"/>
    </row>
    <row r="13712" spans="1:2" x14ac:dyDescent="0.4">
      <c r="A13712" s="4"/>
      <c r="B13712" s="4"/>
    </row>
    <row r="13713" spans="1:2" x14ac:dyDescent="0.4">
      <c r="A13713" s="4"/>
      <c r="B13713" s="4"/>
    </row>
    <row r="13714" spans="1:2" x14ac:dyDescent="0.4">
      <c r="A13714" s="4"/>
      <c r="B13714" s="4"/>
    </row>
    <row r="13715" spans="1:2" x14ac:dyDescent="0.4">
      <c r="A13715" s="4"/>
      <c r="B13715" s="4"/>
    </row>
    <row r="13716" spans="1:2" x14ac:dyDescent="0.4">
      <c r="A13716" s="4"/>
      <c r="B13716" s="4"/>
    </row>
    <row r="13717" spans="1:2" x14ac:dyDescent="0.4">
      <c r="A13717" s="4"/>
      <c r="B13717" s="4"/>
    </row>
    <row r="13718" spans="1:2" x14ac:dyDescent="0.4">
      <c r="A13718" s="4"/>
      <c r="B13718" s="4"/>
    </row>
    <row r="13719" spans="1:2" x14ac:dyDescent="0.4">
      <c r="A13719" s="4"/>
      <c r="B13719" s="4"/>
    </row>
    <row r="13720" spans="1:2" x14ac:dyDescent="0.4">
      <c r="A13720" s="4"/>
      <c r="B13720" s="4"/>
    </row>
    <row r="13721" spans="1:2" x14ac:dyDescent="0.4">
      <c r="A13721" s="4"/>
      <c r="B13721" s="4"/>
    </row>
    <row r="13722" spans="1:2" x14ac:dyDescent="0.4">
      <c r="A13722" s="4"/>
      <c r="B13722" s="4"/>
    </row>
    <row r="13723" spans="1:2" x14ac:dyDescent="0.4">
      <c r="A13723" s="4"/>
      <c r="B13723" s="4"/>
    </row>
    <row r="13724" spans="1:2" x14ac:dyDescent="0.4">
      <c r="A13724" s="4"/>
      <c r="B13724" s="4"/>
    </row>
    <row r="13725" spans="1:2" x14ac:dyDescent="0.4">
      <c r="A13725" s="4"/>
      <c r="B13725" s="4"/>
    </row>
    <row r="13726" spans="1:2" x14ac:dyDescent="0.4">
      <c r="A13726" s="4"/>
      <c r="B13726" s="4"/>
    </row>
    <row r="13727" spans="1:2" x14ac:dyDescent="0.4">
      <c r="A13727" s="4"/>
      <c r="B13727" s="4"/>
    </row>
    <row r="13728" spans="1:2" x14ac:dyDescent="0.4">
      <c r="A13728" s="4"/>
      <c r="B13728" s="4"/>
    </row>
    <row r="13729" spans="1:2" x14ac:dyDescent="0.4">
      <c r="A13729" s="4"/>
      <c r="B13729" s="4"/>
    </row>
    <row r="13730" spans="1:2" x14ac:dyDescent="0.4">
      <c r="A13730" s="4"/>
      <c r="B13730" s="4"/>
    </row>
    <row r="13731" spans="1:2" x14ac:dyDescent="0.4">
      <c r="A13731" s="4"/>
      <c r="B13731" s="4"/>
    </row>
    <row r="13732" spans="1:2" x14ac:dyDescent="0.4">
      <c r="A13732" s="4"/>
      <c r="B13732" s="4"/>
    </row>
    <row r="13733" spans="1:2" x14ac:dyDescent="0.4">
      <c r="A13733" s="4"/>
      <c r="B13733" s="4"/>
    </row>
    <row r="13734" spans="1:2" x14ac:dyDescent="0.4">
      <c r="A13734" s="4"/>
      <c r="B13734" s="4"/>
    </row>
    <row r="13735" spans="1:2" x14ac:dyDescent="0.4">
      <c r="A13735" s="4"/>
      <c r="B13735" s="4"/>
    </row>
    <row r="13736" spans="1:2" x14ac:dyDescent="0.4">
      <c r="A13736" s="4"/>
      <c r="B13736" s="4"/>
    </row>
    <row r="13737" spans="1:2" x14ac:dyDescent="0.4">
      <c r="A13737" s="4"/>
      <c r="B13737" s="4"/>
    </row>
    <row r="13738" spans="1:2" x14ac:dyDescent="0.4">
      <c r="A13738" s="4"/>
      <c r="B13738" s="4"/>
    </row>
    <row r="13739" spans="1:2" x14ac:dyDescent="0.4">
      <c r="A13739" s="4"/>
      <c r="B13739" s="4"/>
    </row>
    <row r="13740" spans="1:2" x14ac:dyDescent="0.4">
      <c r="A13740" s="4"/>
      <c r="B13740" s="4"/>
    </row>
    <row r="13741" spans="1:2" x14ac:dyDescent="0.4">
      <c r="A13741" s="4"/>
      <c r="B13741" s="4"/>
    </row>
    <row r="13742" spans="1:2" x14ac:dyDescent="0.4">
      <c r="A13742" s="4"/>
      <c r="B13742" s="4"/>
    </row>
    <row r="13743" spans="1:2" x14ac:dyDescent="0.4">
      <c r="A13743" s="4"/>
      <c r="B13743" s="4"/>
    </row>
    <row r="13744" spans="1:2" x14ac:dyDescent="0.4">
      <c r="A13744" s="4"/>
      <c r="B13744" s="4"/>
    </row>
    <row r="13745" spans="1:2" x14ac:dyDescent="0.4">
      <c r="A13745" s="4"/>
      <c r="B13745" s="4"/>
    </row>
    <row r="13746" spans="1:2" x14ac:dyDescent="0.4">
      <c r="A13746" s="4"/>
      <c r="B13746" s="4"/>
    </row>
    <row r="13747" spans="1:2" x14ac:dyDescent="0.4">
      <c r="A13747" s="4"/>
      <c r="B13747" s="4"/>
    </row>
    <row r="13748" spans="1:2" x14ac:dyDescent="0.4">
      <c r="A13748" s="4"/>
      <c r="B13748" s="4"/>
    </row>
    <row r="13749" spans="1:2" x14ac:dyDescent="0.4">
      <c r="A13749" s="4"/>
      <c r="B13749" s="4"/>
    </row>
    <row r="13750" spans="1:2" x14ac:dyDescent="0.4">
      <c r="A13750" s="4"/>
      <c r="B13750" s="4"/>
    </row>
    <row r="13751" spans="1:2" x14ac:dyDescent="0.4">
      <c r="A13751" s="4"/>
      <c r="B13751" s="4"/>
    </row>
    <row r="13752" spans="1:2" x14ac:dyDescent="0.4">
      <c r="A13752" s="4"/>
      <c r="B13752" s="4"/>
    </row>
    <row r="13753" spans="1:2" x14ac:dyDescent="0.4">
      <c r="A13753" s="4"/>
      <c r="B13753" s="4"/>
    </row>
    <row r="13754" spans="1:2" x14ac:dyDescent="0.4">
      <c r="A13754" s="4"/>
      <c r="B13754" s="4"/>
    </row>
    <row r="13755" spans="1:2" x14ac:dyDescent="0.4">
      <c r="A13755" s="4"/>
      <c r="B13755" s="4"/>
    </row>
    <row r="13756" spans="1:2" x14ac:dyDescent="0.4">
      <c r="A13756" s="4"/>
      <c r="B13756" s="4"/>
    </row>
    <row r="13757" spans="1:2" x14ac:dyDescent="0.4">
      <c r="A13757" s="4"/>
      <c r="B13757" s="4"/>
    </row>
    <row r="13758" spans="1:2" x14ac:dyDescent="0.4">
      <c r="A13758" s="4"/>
      <c r="B13758" s="4"/>
    </row>
    <row r="13759" spans="1:2" x14ac:dyDescent="0.4">
      <c r="A13759" s="4"/>
      <c r="B13759" s="4"/>
    </row>
    <row r="13760" spans="1:2" x14ac:dyDescent="0.4">
      <c r="A13760" s="4"/>
      <c r="B13760" s="4"/>
    </row>
    <row r="13761" spans="1:2" x14ac:dyDescent="0.4">
      <c r="A13761" s="4"/>
      <c r="B13761" s="4"/>
    </row>
    <row r="13762" spans="1:2" x14ac:dyDescent="0.4">
      <c r="A13762" s="4"/>
      <c r="B13762" s="4"/>
    </row>
    <row r="13763" spans="1:2" x14ac:dyDescent="0.4">
      <c r="A13763" s="4"/>
      <c r="B13763" s="4"/>
    </row>
    <row r="13764" spans="1:2" x14ac:dyDescent="0.4">
      <c r="A13764" s="4"/>
      <c r="B13764" s="4"/>
    </row>
    <row r="13765" spans="1:2" x14ac:dyDescent="0.4">
      <c r="A13765" s="4"/>
      <c r="B13765" s="4"/>
    </row>
    <row r="13766" spans="1:2" x14ac:dyDescent="0.4">
      <c r="A13766" s="4"/>
      <c r="B13766" s="4"/>
    </row>
    <row r="13767" spans="1:2" x14ac:dyDescent="0.4">
      <c r="A13767" s="4"/>
      <c r="B13767" s="4"/>
    </row>
    <row r="13768" spans="1:2" x14ac:dyDescent="0.4">
      <c r="A13768" s="4"/>
      <c r="B13768" s="4"/>
    </row>
    <row r="13769" spans="1:2" x14ac:dyDescent="0.4">
      <c r="A13769" s="4"/>
      <c r="B13769" s="4"/>
    </row>
    <row r="13770" spans="1:2" x14ac:dyDescent="0.4">
      <c r="A13770" s="4"/>
      <c r="B13770" s="4"/>
    </row>
    <row r="13771" spans="1:2" x14ac:dyDescent="0.4">
      <c r="A13771" s="4"/>
      <c r="B13771" s="4"/>
    </row>
    <row r="13772" spans="1:2" x14ac:dyDescent="0.4">
      <c r="A13772" s="4"/>
      <c r="B13772" s="4"/>
    </row>
    <row r="13773" spans="1:2" x14ac:dyDescent="0.4">
      <c r="A13773" s="4"/>
      <c r="B13773" s="4"/>
    </row>
    <row r="13774" spans="1:2" x14ac:dyDescent="0.4">
      <c r="A13774" s="4"/>
      <c r="B13774" s="4"/>
    </row>
    <row r="13775" spans="1:2" x14ac:dyDescent="0.4">
      <c r="A13775" s="4"/>
      <c r="B13775" s="4"/>
    </row>
    <row r="13776" spans="1:2" x14ac:dyDescent="0.4">
      <c r="A13776" s="4"/>
      <c r="B13776" s="4"/>
    </row>
    <row r="13777" spans="1:2" x14ac:dyDescent="0.4">
      <c r="A13777" s="4"/>
      <c r="B13777" s="4"/>
    </row>
    <row r="13778" spans="1:2" x14ac:dyDescent="0.4">
      <c r="A13778" s="4"/>
      <c r="B13778" s="4"/>
    </row>
    <row r="13779" spans="1:2" x14ac:dyDescent="0.4">
      <c r="A13779" s="4"/>
      <c r="B13779" s="4"/>
    </row>
    <row r="13780" spans="1:2" x14ac:dyDescent="0.4">
      <c r="A13780" s="4"/>
      <c r="B13780" s="4"/>
    </row>
    <row r="13781" spans="1:2" x14ac:dyDescent="0.4">
      <c r="A13781" s="4"/>
      <c r="B13781" s="4"/>
    </row>
    <row r="13782" spans="1:2" x14ac:dyDescent="0.4">
      <c r="A13782" s="4"/>
      <c r="B13782" s="4"/>
    </row>
    <row r="13783" spans="1:2" x14ac:dyDescent="0.4">
      <c r="A13783" s="4"/>
      <c r="B13783" s="4"/>
    </row>
    <row r="13784" spans="1:2" x14ac:dyDescent="0.4">
      <c r="A13784" s="4"/>
      <c r="B13784" s="4"/>
    </row>
    <row r="13785" spans="1:2" x14ac:dyDescent="0.4">
      <c r="A13785" s="4"/>
      <c r="B13785" s="4"/>
    </row>
    <row r="13786" spans="1:2" x14ac:dyDescent="0.4">
      <c r="A13786" s="4"/>
      <c r="B13786" s="4"/>
    </row>
    <row r="13787" spans="1:2" x14ac:dyDescent="0.4">
      <c r="A13787" s="4"/>
      <c r="B13787" s="4"/>
    </row>
    <row r="13788" spans="1:2" x14ac:dyDescent="0.4">
      <c r="A13788" s="4"/>
      <c r="B13788" s="4"/>
    </row>
    <row r="13789" spans="1:2" x14ac:dyDescent="0.4">
      <c r="A13789" s="4"/>
      <c r="B13789" s="4"/>
    </row>
    <row r="13790" spans="1:2" x14ac:dyDescent="0.4">
      <c r="A13790" s="4"/>
      <c r="B13790" s="4"/>
    </row>
    <row r="13791" spans="1:2" x14ac:dyDescent="0.4">
      <c r="A13791" s="4"/>
      <c r="B13791" s="4"/>
    </row>
    <row r="13792" spans="1:2" x14ac:dyDescent="0.4">
      <c r="A13792" s="4"/>
      <c r="B13792" s="4"/>
    </row>
    <row r="13793" spans="1:2" x14ac:dyDescent="0.4">
      <c r="A13793" s="4"/>
      <c r="B13793" s="4"/>
    </row>
    <row r="13794" spans="1:2" x14ac:dyDescent="0.4">
      <c r="A13794" s="4"/>
      <c r="B13794" s="4"/>
    </row>
    <row r="13795" spans="1:2" x14ac:dyDescent="0.4">
      <c r="A13795" s="4"/>
      <c r="B13795" s="4"/>
    </row>
    <row r="13796" spans="1:2" x14ac:dyDescent="0.4">
      <c r="A13796" s="4"/>
      <c r="B13796" s="4"/>
    </row>
    <row r="13797" spans="1:2" x14ac:dyDescent="0.4">
      <c r="A13797" s="4"/>
      <c r="B13797" s="4"/>
    </row>
    <row r="13798" spans="1:2" x14ac:dyDescent="0.4">
      <c r="A13798" s="4"/>
      <c r="B13798" s="4"/>
    </row>
    <row r="13799" spans="1:2" x14ac:dyDescent="0.4">
      <c r="A13799" s="4"/>
      <c r="B13799" s="4"/>
    </row>
    <row r="13800" spans="1:2" x14ac:dyDescent="0.4">
      <c r="A13800" s="4"/>
      <c r="B13800" s="4"/>
    </row>
    <row r="13801" spans="1:2" x14ac:dyDescent="0.4">
      <c r="A13801" s="4"/>
      <c r="B13801" s="4"/>
    </row>
    <row r="13802" spans="1:2" x14ac:dyDescent="0.4">
      <c r="A13802" s="4"/>
      <c r="B13802" s="4"/>
    </row>
    <row r="13803" spans="1:2" x14ac:dyDescent="0.4">
      <c r="A13803" s="4"/>
      <c r="B13803" s="4"/>
    </row>
    <row r="13804" spans="1:2" x14ac:dyDescent="0.4">
      <c r="A13804" s="4"/>
      <c r="B13804" s="4"/>
    </row>
    <row r="13805" spans="1:2" x14ac:dyDescent="0.4">
      <c r="A13805" s="4"/>
      <c r="B13805" s="4"/>
    </row>
    <row r="13806" spans="1:2" x14ac:dyDescent="0.4">
      <c r="A13806" s="4"/>
      <c r="B13806" s="4"/>
    </row>
    <row r="13807" spans="1:2" x14ac:dyDescent="0.4">
      <c r="A13807" s="4"/>
      <c r="B13807" s="4"/>
    </row>
    <row r="13808" spans="1:2" x14ac:dyDescent="0.4">
      <c r="A13808" s="4"/>
      <c r="B13808" s="4"/>
    </row>
    <row r="13809" spans="1:2" x14ac:dyDescent="0.4">
      <c r="A13809" s="4"/>
      <c r="B13809" s="4"/>
    </row>
    <row r="13810" spans="1:2" x14ac:dyDescent="0.4">
      <c r="A13810" s="4"/>
      <c r="B13810" s="4"/>
    </row>
    <row r="13811" spans="1:2" x14ac:dyDescent="0.4">
      <c r="A13811" s="4"/>
      <c r="B13811" s="4"/>
    </row>
    <row r="13812" spans="1:2" x14ac:dyDescent="0.4">
      <c r="A13812" s="4"/>
      <c r="B13812" s="4"/>
    </row>
    <row r="13813" spans="1:2" x14ac:dyDescent="0.4">
      <c r="A13813" s="4"/>
      <c r="B13813" s="4"/>
    </row>
    <row r="13814" spans="1:2" x14ac:dyDescent="0.4">
      <c r="A13814" s="4"/>
      <c r="B13814" s="4"/>
    </row>
    <row r="13815" spans="1:2" x14ac:dyDescent="0.4">
      <c r="A13815" s="4"/>
      <c r="B13815" s="4"/>
    </row>
    <row r="13816" spans="1:2" x14ac:dyDescent="0.4">
      <c r="A13816" s="4"/>
      <c r="B13816" s="4"/>
    </row>
    <row r="13817" spans="1:2" x14ac:dyDescent="0.4">
      <c r="A13817" s="4"/>
      <c r="B13817" s="4"/>
    </row>
    <row r="13818" spans="1:2" x14ac:dyDescent="0.4">
      <c r="A13818" s="4"/>
      <c r="B13818" s="4"/>
    </row>
    <row r="13819" spans="1:2" x14ac:dyDescent="0.4">
      <c r="A13819" s="4"/>
      <c r="B13819" s="4"/>
    </row>
    <row r="13820" spans="1:2" x14ac:dyDescent="0.4">
      <c r="A13820" s="4"/>
      <c r="B13820" s="4"/>
    </row>
    <row r="13821" spans="1:2" x14ac:dyDescent="0.4">
      <c r="A13821" s="4"/>
      <c r="B13821" s="4"/>
    </row>
    <row r="13822" spans="1:2" x14ac:dyDescent="0.4">
      <c r="A13822" s="4"/>
      <c r="B13822" s="4"/>
    </row>
    <row r="13823" spans="1:2" x14ac:dyDescent="0.4">
      <c r="A13823" s="4"/>
      <c r="B13823" s="4"/>
    </row>
    <row r="13824" spans="1:2" x14ac:dyDescent="0.4">
      <c r="A13824" s="4"/>
      <c r="B13824" s="4"/>
    </row>
    <row r="13825" spans="1:2" x14ac:dyDescent="0.4">
      <c r="A13825" s="4"/>
      <c r="B13825" s="4"/>
    </row>
    <row r="13826" spans="1:2" x14ac:dyDescent="0.4">
      <c r="A13826" s="4"/>
      <c r="B13826" s="4"/>
    </row>
    <row r="13827" spans="1:2" x14ac:dyDescent="0.4">
      <c r="A13827" s="4"/>
      <c r="B13827" s="4"/>
    </row>
    <row r="13828" spans="1:2" x14ac:dyDescent="0.4">
      <c r="A13828" s="4"/>
      <c r="B13828" s="4"/>
    </row>
    <row r="13829" spans="1:2" x14ac:dyDescent="0.4">
      <c r="A13829" s="4"/>
      <c r="B13829" s="4"/>
    </row>
    <row r="13830" spans="1:2" x14ac:dyDescent="0.4">
      <c r="A13830" s="4"/>
      <c r="B13830" s="4"/>
    </row>
    <row r="13831" spans="1:2" x14ac:dyDescent="0.4">
      <c r="A13831" s="4"/>
      <c r="B13831" s="4"/>
    </row>
    <row r="13832" spans="1:2" x14ac:dyDescent="0.4">
      <c r="A13832" s="4"/>
      <c r="B13832" s="4"/>
    </row>
    <row r="13833" spans="1:2" x14ac:dyDescent="0.4">
      <c r="A13833" s="4"/>
      <c r="B13833" s="4"/>
    </row>
    <row r="13834" spans="1:2" x14ac:dyDescent="0.4">
      <c r="A13834" s="4"/>
      <c r="B13834" s="4"/>
    </row>
    <row r="13835" spans="1:2" x14ac:dyDescent="0.4">
      <c r="A13835" s="4"/>
      <c r="B13835" s="4"/>
    </row>
    <row r="13836" spans="1:2" x14ac:dyDescent="0.4">
      <c r="A13836" s="4"/>
      <c r="B13836" s="4"/>
    </row>
    <row r="13837" spans="1:2" x14ac:dyDescent="0.4">
      <c r="A13837" s="4"/>
      <c r="B13837" s="4"/>
    </row>
    <row r="13838" spans="1:2" x14ac:dyDescent="0.4">
      <c r="A13838" s="4"/>
      <c r="B13838" s="4"/>
    </row>
    <row r="13839" spans="1:2" x14ac:dyDescent="0.4">
      <c r="A13839" s="4"/>
      <c r="B13839" s="4"/>
    </row>
    <row r="13840" spans="1:2" x14ac:dyDescent="0.4">
      <c r="A13840" s="4"/>
      <c r="B13840" s="4"/>
    </row>
    <row r="13841" spans="1:2" x14ac:dyDescent="0.4">
      <c r="A13841" s="4"/>
      <c r="B13841" s="4"/>
    </row>
    <row r="13842" spans="1:2" x14ac:dyDescent="0.4">
      <c r="A13842" s="4"/>
      <c r="B13842" s="4"/>
    </row>
    <row r="13843" spans="1:2" x14ac:dyDescent="0.4">
      <c r="A13843" s="4"/>
      <c r="B13843" s="4"/>
    </row>
    <row r="13844" spans="1:2" x14ac:dyDescent="0.4">
      <c r="A13844" s="4"/>
      <c r="B13844" s="4"/>
    </row>
    <row r="13845" spans="1:2" x14ac:dyDescent="0.4">
      <c r="A13845" s="4"/>
      <c r="B13845" s="4"/>
    </row>
    <row r="13846" spans="1:2" x14ac:dyDescent="0.4">
      <c r="A13846" s="4"/>
      <c r="B13846" s="4"/>
    </row>
    <row r="13847" spans="1:2" x14ac:dyDescent="0.4">
      <c r="A13847" s="4"/>
      <c r="B13847" s="4"/>
    </row>
    <row r="13848" spans="1:2" x14ac:dyDescent="0.4">
      <c r="A13848" s="4"/>
      <c r="B13848" s="4"/>
    </row>
    <row r="13849" spans="1:2" x14ac:dyDescent="0.4">
      <c r="A13849" s="4"/>
      <c r="B13849" s="4"/>
    </row>
    <row r="13850" spans="1:2" x14ac:dyDescent="0.4">
      <c r="A13850" s="4"/>
      <c r="B13850" s="4"/>
    </row>
    <row r="13851" spans="1:2" x14ac:dyDescent="0.4">
      <c r="A13851" s="4"/>
      <c r="B13851" s="4"/>
    </row>
    <row r="13852" spans="1:2" x14ac:dyDescent="0.4">
      <c r="A13852" s="4"/>
      <c r="B13852" s="4"/>
    </row>
    <row r="13853" spans="1:2" x14ac:dyDescent="0.4">
      <c r="A13853" s="4"/>
      <c r="B13853" s="4"/>
    </row>
    <row r="13854" spans="1:2" x14ac:dyDescent="0.4">
      <c r="A13854" s="4"/>
      <c r="B13854" s="4"/>
    </row>
    <row r="13855" spans="1:2" x14ac:dyDescent="0.4">
      <c r="A13855" s="4"/>
      <c r="B13855" s="4"/>
    </row>
    <row r="13856" spans="1:2" x14ac:dyDescent="0.4">
      <c r="A13856" s="4"/>
      <c r="B13856" s="4"/>
    </row>
    <row r="13857" spans="1:2" x14ac:dyDescent="0.4">
      <c r="A13857" s="4"/>
      <c r="B13857" s="4"/>
    </row>
    <row r="13858" spans="1:2" x14ac:dyDescent="0.4">
      <c r="A13858" s="4"/>
      <c r="B13858" s="4"/>
    </row>
    <row r="13859" spans="1:2" x14ac:dyDescent="0.4">
      <c r="A13859" s="4"/>
      <c r="B13859" s="4"/>
    </row>
    <row r="13860" spans="1:2" x14ac:dyDescent="0.4">
      <c r="A13860" s="4"/>
      <c r="B13860" s="4"/>
    </row>
    <row r="13861" spans="1:2" x14ac:dyDescent="0.4">
      <c r="A13861" s="4"/>
      <c r="B13861" s="4"/>
    </row>
    <row r="13862" spans="1:2" x14ac:dyDescent="0.4">
      <c r="A13862" s="4"/>
      <c r="B13862" s="4"/>
    </row>
    <row r="13863" spans="1:2" x14ac:dyDescent="0.4">
      <c r="A13863" s="4"/>
      <c r="B13863" s="4"/>
    </row>
    <row r="13864" spans="1:2" x14ac:dyDescent="0.4">
      <c r="A13864" s="4"/>
      <c r="B13864" s="4"/>
    </row>
    <row r="13865" spans="1:2" x14ac:dyDescent="0.4">
      <c r="A13865" s="4"/>
      <c r="B13865" s="4"/>
    </row>
    <row r="13866" spans="1:2" x14ac:dyDescent="0.4">
      <c r="A13866" s="4"/>
      <c r="B13866" s="4"/>
    </row>
    <row r="13867" spans="1:2" x14ac:dyDescent="0.4">
      <c r="A13867" s="4"/>
      <c r="B13867" s="4"/>
    </row>
    <row r="13868" spans="1:2" x14ac:dyDescent="0.4">
      <c r="A13868" s="4"/>
      <c r="B13868" s="4"/>
    </row>
    <row r="13869" spans="1:2" x14ac:dyDescent="0.4">
      <c r="A13869" s="4"/>
      <c r="B13869" s="4"/>
    </row>
    <row r="13870" spans="1:2" x14ac:dyDescent="0.4">
      <c r="A13870" s="4"/>
      <c r="B13870" s="4"/>
    </row>
    <row r="13871" spans="1:2" x14ac:dyDescent="0.4">
      <c r="A13871" s="4"/>
      <c r="B13871" s="4"/>
    </row>
    <row r="13872" spans="1:2" x14ac:dyDescent="0.4">
      <c r="A13872" s="4"/>
      <c r="B13872" s="4"/>
    </row>
    <row r="13873" spans="1:2" x14ac:dyDescent="0.4">
      <c r="A13873" s="4"/>
      <c r="B13873" s="4"/>
    </row>
    <row r="13874" spans="1:2" x14ac:dyDescent="0.4">
      <c r="A13874" s="4"/>
      <c r="B13874" s="4"/>
    </row>
    <row r="13875" spans="1:2" x14ac:dyDescent="0.4">
      <c r="A13875" s="4"/>
      <c r="B13875" s="4"/>
    </row>
    <row r="13876" spans="1:2" x14ac:dyDescent="0.4">
      <c r="A13876" s="4"/>
      <c r="B13876" s="4"/>
    </row>
    <row r="13877" spans="1:2" x14ac:dyDescent="0.4">
      <c r="A13877" s="4"/>
      <c r="B13877" s="4"/>
    </row>
    <row r="13878" spans="1:2" x14ac:dyDescent="0.4">
      <c r="A13878" s="4"/>
      <c r="B13878" s="4"/>
    </row>
    <row r="13879" spans="1:2" x14ac:dyDescent="0.4">
      <c r="A13879" s="4"/>
      <c r="B13879" s="4"/>
    </row>
    <row r="13880" spans="1:2" x14ac:dyDescent="0.4">
      <c r="A13880" s="4"/>
      <c r="B13880" s="4"/>
    </row>
    <row r="13881" spans="1:2" x14ac:dyDescent="0.4">
      <c r="A13881" s="4"/>
      <c r="B13881" s="4"/>
    </row>
    <row r="13882" spans="1:2" x14ac:dyDescent="0.4">
      <c r="A13882" s="4"/>
      <c r="B13882" s="4"/>
    </row>
    <row r="13883" spans="1:2" x14ac:dyDescent="0.4">
      <c r="A13883" s="4"/>
      <c r="B13883" s="4"/>
    </row>
    <row r="13884" spans="1:2" x14ac:dyDescent="0.4">
      <c r="A13884" s="4"/>
      <c r="B13884" s="4"/>
    </row>
    <row r="13885" spans="1:2" x14ac:dyDescent="0.4">
      <c r="A13885" s="4"/>
      <c r="B13885" s="4"/>
    </row>
    <row r="13886" spans="1:2" x14ac:dyDescent="0.4">
      <c r="A13886" s="4"/>
      <c r="B13886" s="4"/>
    </row>
    <row r="13887" spans="1:2" x14ac:dyDescent="0.4">
      <c r="A13887" s="4"/>
      <c r="B13887" s="4"/>
    </row>
    <row r="13888" spans="1:2" x14ac:dyDescent="0.4">
      <c r="A13888" s="4"/>
      <c r="B13888" s="4"/>
    </row>
    <row r="13889" spans="1:2" x14ac:dyDescent="0.4">
      <c r="A13889" s="4"/>
      <c r="B13889" s="4"/>
    </row>
    <row r="13890" spans="1:2" x14ac:dyDescent="0.4">
      <c r="A13890" s="4"/>
      <c r="B13890" s="4"/>
    </row>
    <row r="13891" spans="1:2" x14ac:dyDescent="0.4">
      <c r="A13891" s="4"/>
      <c r="B13891" s="4"/>
    </row>
    <row r="13892" spans="1:2" x14ac:dyDescent="0.4">
      <c r="A13892" s="4"/>
      <c r="B13892" s="4"/>
    </row>
    <row r="13893" spans="1:2" x14ac:dyDescent="0.4">
      <c r="A13893" s="4"/>
      <c r="B13893" s="4"/>
    </row>
    <row r="13894" spans="1:2" x14ac:dyDescent="0.4">
      <c r="A13894" s="4"/>
      <c r="B13894" s="4"/>
    </row>
    <row r="13895" spans="1:2" x14ac:dyDescent="0.4">
      <c r="A13895" s="4"/>
      <c r="B13895" s="4"/>
    </row>
    <row r="13896" spans="1:2" x14ac:dyDescent="0.4">
      <c r="A13896" s="4"/>
      <c r="B13896" s="4"/>
    </row>
    <row r="13897" spans="1:2" x14ac:dyDescent="0.4">
      <c r="A13897" s="4"/>
      <c r="B13897" s="4"/>
    </row>
    <row r="13898" spans="1:2" x14ac:dyDescent="0.4">
      <c r="A13898" s="4"/>
      <c r="B13898" s="4"/>
    </row>
    <row r="13899" spans="1:2" x14ac:dyDescent="0.4">
      <c r="A13899" s="4"/>
      <c r="B13899" s="4"/>
    </row>
    <row r="13900" spans="1:2" x14ac:dyDescent="0.4">
      <c r="A13900" s="4"/>
      <c r="B13900" s="4"/>
    </row>
    <row r="13901" spans="1:2" x14ac:dyDescent="0.4">
      <c r="A13901" s="4"/>
      <c r="B13901" s="4"/>
    </row>
    <row r="13902" spans="1:2" x14ac:dyDescent="0.4">
      <c r="A13902" s="4"/>
      <c r="B13902" s="4"/>
    </row>
    <row r="13903" spans="1:2" x14ac:dyDescent="0.4">
      <c r="A13903" s="4"/>
      <c r="B13903" s="4"/>
    </row>
    <row r="13904" spans="1:2" x14ac:dyDescent="0.4">
      <c r="A13904" s="4"/>
      <c r="B13904" s="4"/>
    </row>
    <row r="13905" spans="1:2" x14ac:dyDescent="0.4">
      <c r="A13905" s="4"/>
      <c r="B13905" s="4"/>
    </row>
    <row r="13906" spans="1:2" x14ac:dyDescent="0.4">
      <c r="A13906" s="4"/>
      <c r="B13906" s="4"/>
    </row>
    <row r="13907" spans="1:2" x14ac:dyDescent="0.4">
      <c r="A13907" s="4"/>
      <c r="B13907" s="4"/>
    </row>
    <row r="13908" spans="1:2" x14ac:dyDescent="0.4">
      <c r="A13908" s="4"/>
      <c r="B13908" s="4"/>
    </row>
    <row r="13909" spans="1:2" x14ac:dyDescent="0.4">
      <c r="A13909" s="4"/>
      <c r="B13909" s="4"/>
    </row>
    <row r="13910" spans="1:2" x14ac:dyDescent="0.4">
      <c r="A13910" s="4"/>
      <c r="B13910" s="4"/>
    </row>
    <row r="13911" spans="1:2" x14ac:dyDescent="0.4">
      <c r="A13911" s="4"/>
      <c r="B13911" s="4"/>
    </row>
    <row r="13912" spans="1:2" x14ac:dyDescent="0.4">
      <c r="A13912" s="4"/>
      <c r="B13912" s="4"/>
    </row>
    <row r="13913" spans="1:2" x14ac:dyDescent="0.4">
      <c r="A13913" s="4"/>
      <c r="B13913" s="4"/>
    </row>
    <row r="13914" spans="1:2" x14ac:dyDescent="0.4">
      <c r="A13914" s="4"/>
      <c r="B13914" s="4"/>
    </row>
    <row r="13915" spans="1:2" x14ac:dyDescent="0.4">
      <c r="A13915" s="4"/>
      <c r="B13915" s="4"/>
    </row>
    <row r="13916" spans="1:2" x14ac:dyDescent="0.4">
      <c r="A13916" s="4"/>
      <c r="B13916" s="4"/>
    </row>
    <row r="13917" spans="1:2" x14ac:dyDescent="0.4">
      <c r="A13917" s="4"/>
      <c r="B13917" s="4"/>
    </row>
    <row r="13918" spans="1:2" x14ac:dyDescent="0.4">
      <c r="A13918" s="4"/>
      <c r="B13918" s="4"/>
    </row>
    <row r="13919" spans="1:2" x14ac:dyDescent="0.4">
      <c r="A13919" s="4"/>
      <c r="B13919" s="4"/>
    </row>
    <row r="13920" spans="1:2" x14ac:dyDescent="0.4">
      <c r="A13920" s="4"/>
      <c r="B13920" s="4"/>
    </row>
    <row r="13921" spans="1:2" x14ac:dyDescent="0.4">
      <c r="A13921" s="4"/>
      <c r="B13921" s="4"/>
    </row>
    <row r="13922" spans="1:2" x14ac:dyDescent="0.4">
      <c r="A13922" s="4"/>
      <c r="B13922" s="4"/>
    </row>
    <row r="13923" spans="1:2" x14ac:dyDescent="0.4">
      <c r="A13923" s="4"/>
      <c r="B13923" s="4"/>
    </row>
    <row r="13924" spans="1:2" x14ac:dyDescent="0.4">
      <c r="A13924" s="4"/>
      <c r="B13924" s="4"/>
    </row>
    <row r="13925" spans="1:2" x14ac:dyDescent="0.4">
      <c r="A13925" s="4"/>
      <c r="B13925" s="4"/>
    </row>
    <row r="13926" spans="1:2" x14ac:dyDescent="0.4">
      <c r="A13926" s="4"/>
      <c r="B13926" s="4"/>
    </row>
    <row r="13927" spans="1:2" x14ac:dyDescent="0.4">
      <c r="A13927" s="4"/>
      <c r="B13927" s="4"/>
    </row>
    <row r="13928" spans="1:2" x14ac:dyDescent="0.4">
      <c r="A13928" s="4"/>
      <c r="B13928" s="4"/>
    </row>
    <row r="13929" spans="1:2" x14ac:dyDescent="0.4">
      <c r="A13929" s="4"/>
      <c r="B13929" s="4"/>
    </row>
    <row r="13930" spans="1:2" x14ac:dyDescent="0.4">
      <c r="A13930" s="4"/>
      <c r="B13930" s="4"/>
    </row>
    <row r="13931" spans="1:2" x14ac:dyDescent="0.4">
      <c r="A13931" s="4"/>
      <c r="B13931" s="4"/>
    </row>
    <row r="13932" spans="1:2" x14ac:dyDescent="0.4">
      <c r="A13932" s="4"/>
      <c r="B13932" s="4"/>
    </row>
    <row r="13933" spans="1:2" x14ac:dyDescent="0.4">
      <c r="A13933" s="4"/>
      <c r="B13933" s="4"/>
    </row>
    <row r="13934" spans="1:2" x14ac:dyDescent="0.4">
      <c r="A13934" s="4"/>
      <c r="B13934" s="4"/>
    </row>
    <row r="13935" spans="1:2" x14ac:dyDescent="0.4">
      <c r="A13935" s="4"/>
      <c r="B13935" s="4"/>
    </row>
    <row r="13936" spans="1:2" x14ac:dyDescent="0.4">
      <c r="A13936" s="4"/>
      <c r="B13936" s="4"/>
    </row>
    <row r="13937" spans="1:2" x14ac:dyDescent="0.4">
      <c r="A13937" s="4"/>
      <c r="B13937" s="4"/>
    </row>
    <row r="13938" spans="1:2" x14ac:dyDescent="0.4">
      <c r="A13938" s="4"/>
      <c r="B13938" s="4"/>
    </row>
    <row r="13939" spans="1:2" x14ac:dyDescent="0.4">
      <c r="A13939" s="4"/>
      <c r="B13939" s="4"/>
    </row>
    <row r="13940" spans="1:2" x14ac:dyDescent="0.4">
      <c r="A13940" s="4"/>
      <c r="B13940" s="4"/>
    </row>
    <row r="13941" spans="1:2" x14ac:dyDescent="0.4">
      <c r="A13941" s="4"/>
      <c r="B13941" s="4"/>
    </row>
    <row r="13942" spans="1:2" x14ac:dyDescent="0.4">
      <c r="A13942" s="4"/>
      <c r="B13942" s="4"/>
    </row>
    <row r="13943" spans="1:2" x14ac:dyDescent="0.4">
      <c r="A13943" s="4"/>
      <c r="B13943" s="4"/>
    </row>
    <row r="13944" spans="1:2" x14ac:dyDescent="0.4">
      <c r="A13944" s="4"/>
      <c r="B13944" s="4"/>
    </row>
    <row r="13945" spans="1:2" x14ac:dyDescent="0.4">
      <c r="A13945" s="4"/>
      <c r="B13945" s="4"/>
    </row>
    <row r="13946" spans="1:2" x14ac:dyDescent="0.4">
      <c r="A13946" s="4"/>
      <c r="B13946" s="4"/>
    </row>
    <row r="13947" spans="1:2" x14ac:dyDescent="0.4">
      <c r="A13947" s="4"/>
      <c r="B13947" s="4"/>
    </row>
    <row r="13948" spans="1:2" x14ac:dyDescent="0.4">
      <c r="A13948" s="4"/>
      <c r="B13948" s="4"/>
    </row>
    <row r="13949" spans="1:2" x14ac:dyDescent="0.4">
      <c r="A13949" s="4"/>
      <c r="B13949" s="4"/>
    </row>
    <row r="13950" spans="1:2" x14ac:dyDescent="0.4">
      <c r="A13950" s="4"/>
      <c r="B13950" s="4"/>
    </row>
    <row r="13951" spans="1:2" x14ac:dyDescent="0.4">
      <c r="A13951" s="4"/>
      <c r="B13951" s="4"/>
    </row>
    <row r="13952" spans="1:2" x14ac:dyDescent="0.4">
      <c r="A13952" s="4"/>
      <c r="B13952" s="4"/>
    </row>
    <row r="13953" spans="1:2" x14ac:dyDescent="0.4">
      <c r="A13953" s="4"/>
      <c r="B13953" s="4"/>
    </row>
    <row r="13954" spans="1:2" x14ac:dyDescent="0.4">
      <c r="A13954" s="4"/>
      <c r="B13954" s="4"/>
    </row>
    <row r="13955" spans="1:2" x14ac:dyDescent="0.4">
      <c r="A13955" s="4"/>
      <c r="B13955" s="4"/>
    </row>
    <row r="13956" spans="1:2" x14ac:dyDescent="0.4">
      <c r="A13956" s="4"/>
      <c r="B13956" s="4"/>
    </row>
    <row r="13957" spans="1:2" x14ac:dyDescent="0.4">
      <c r="A13957" s="4"/>
      <c r="B13957" s="4"/>
    </row>
    <row r="13958" spans="1:2" x14ac:dyDescent="0.4">
      <c r="A13958" s="4"/>
      <c r="B13958" s="4"/>
    </row>
    <row r="13959" spans="1:2" x14ac:dyDescent="0.4">
      <c r="A13959" s="4"/>
      <c r="B13959" s="4"/>
    </row>
    <row r="13960" spans="1:2" x14ac:dyDescent="0.4">
      <c r="A13960" s="4"/>
      <c r="B13960" s="4"/>
    </row>
    <row r="13961" spans="1:2" x14ac:dyDescent="0.4">
      <c r="A13961" s="4"/>
      <c r="B13961" s="4"/>
    </row>
    <row r="13962" spans="1:2" x14ac:dyDescent="0.4">
      <c r="A13962" s="4"/>
      <c r="B13962" s="4"/>
    </row>
    <row r="13963" spans="1:2" x14ac:dyDescent="0.4">
      <c r="A13963" s="4"/>
      <c r="B13963" s="4"/>
    </row>
    <row r="13964" spans="1:2" x14ac:dyDescent="0.4">
      <c r="A13964" s="4"/>
      <c r="B13964" s="4"/>
    </row>
    <row r="13965" spans="1:2" x14ac:dyDescent="0.4">
      <c r="A13965" s="4"/>
      <c r="B13965" s="4"/>
    </row>
    <row r="13966" spans="1:2" x14ac:dyDescent="0.4">
      <c r="A13966" s="4"/>
      <c r="B13966" s="4"/>
    </row>
    <row r="13967" spans="1:2" x14ac:dyDescent="0.4">
      <c r="A13967" s="4"/>
      <c r="B13967" s="4"/>
    </row>
    <row r="13968" spans="1:2" x14ac:dyDescent="0.4">
      <c r="A13968" s="4"/>
      <c r="B13968" s="4"/>
    </row>
    <row r="13969" spans="1:2" x14ac:dyDescent="0.4">
      <c r="A13969" s="4"/>
      <c r="B13969" s="4"/>
    </row>
    <row r="13970" spans="1:2" x14ac:dyDescent="0.4">
      <c r="A13970" s="4"/>
      <c r="B13970" s="4"/>
    </row>
    <row r="13971" spans="1:2" x14ac:dyDescent="0.4">
      <c r="A13971" s="4"/>
      <c r="B13971" s="4"/>
    </row>
    <row r="13972" spans="1:2" x14ac:dyDescent="0.4">
      <c r="A13972" s="4"/>
      <c r="B13972" s="4"/>
    </row>
    <row r="13973" spans="1:2" x14ac:dyDescent="0.4">
      <c r="A13973" s="4"/>
      <c r="B13973" s="4"/>
    </row>
    <row r="13974" spans="1:2" x14ac:dyDescent="0.4">
      <c r="A13974" s="4"/>
      <c r="B13974" s="4"/>
    </row>
    <row r="13975" spans="1:2" x14ac:dyDescent="0.4">
      <c r="A13975" s="4"/>
      <c r="B13975" s="4"/>
    </row>
    <row r="13976" spans="1:2" x14ac:dyDescent="0.4">
      <c r="A13976" s="4"/>
      <c r="B13976" s="4"/>
    </row>
    <row r="13977" spans="1:2" x14ac:dyDescent="0.4">
      <c r="A13977" s="4"/>
      <c r="B13977" s="4"/>
    </row>
    <row r="13978" spans="1:2" x14ac:dyDescent="0.4">
      <c r="A13978" s="4"/>
      <c r="B13978" s="4"/>
    </row>
    <row r="13979" spans="1:2" x14ac:dyDescent="0.4">
      <c r="A13979" s="4"/>
      <c r="B13979" s="4"/>
    </row>
    <row r="13980" spans="1:2" x14ac:dyDescent="0.4">
      <c r="A13980" s="4"/>
      <c r="B13980" s="4"/>
    </row>
    <row r="13981" spans="1:2" x14ac:dyDescent="0.4">
      <c r="A13981" s="4"/>
      <c r="B13981" s="4"/>
    </row>
    <row r="13982" spans="1:2" x14ac:dyDescent="0.4">
      <c r="A13982" s="4"/>
      <c r="B13982" s="4"/>
    </row>
    <row r="13983" spans="1:2" x14ac:dyDescent="0.4">
      <c r="A13983" s="4"/>
      <c r="B13983" s="4"/>
    </row>
    <row r="13984" spans="1:2" x14ac:dyDescent="0.4">
      <c r="A13984" s="4"/>
      <c r="B13984" s="4"/>
    </row>
    <row r="13985" spans="1:2" x14ac:dyDescent="0.4">
      <c r="A13985" s="4"/>
      <c r="B13985" s="4"/>
    </row>
    <row r="13986" spans="1:2" x14ac:dyDescent="0.4">
      <c r="A13986" s="4"/>
      <c r="B13986" s="4"/>
    </row>
    <row r="13987" spans="1:2" x14ac:dyDescent="0.4">
      <c r="A13987" s="4"/>
      <c r="B13987" s="4"/>
    </row>
    <row r="13988" spans="1:2" x14ac:dyDescent="0.4">
      <c r="A13988" s="4"/>
      <c r="B13988" s="4"/>
    </row>
    <row r="13989" spans="1:2" x14ac:dyDescent="0.4">
      <c r="A13989" s="4"/>
      <c r="B13989" s="4"/>
    </row>
    <row r="13990" spans="1:2" x14ac:dyDescent="0.4">
      <c r="A13990" s="4"/>
      <c r="B13990" s="4"/>
    </row>
    <row r="13991" spans="1:2" x14ac:dyDescent="0.4">
      <c r="A13991" s="4"/>
      <c r="B13991" s="4"/>
    </row>
    <row r="13992" spans="1:2" x14ac:dyDescent="0.4">
      <c r="A13992" s="4"/>
      <c r="B13992" s="4"/>
    </row>
    <row r="13993" spans="1:2" x14ac:dyDescent="0.4">
      <c r="A13993" s="4"/>
      <c r="B13993" s="4"/>
    </row>
    <row r="13994" spans="1:2" x14ac:dyDescent="0.4">
      <c r="A13994" s="4"/>
      <c r="B13994" s="4"/>
    </row>
    <row r="13995" spans="1:2" x14ac:dyDescent="0.4">
      <c r="A13995" s="4"/>
      <c r="B13995" s="4"/>
    </row>
    <row r="13996" spans="1:2" x14ac:dyDescent="0.4">
      <c r="A13996" s="4"/>
      <c r="B13996" s="4"/>
    </row>
    <row r="13997" spans="1:2" x14ac:dyDescent="0.4">
      <c r="A13997" s="4"/>
      <c r="B13997" s="4"/>
    </row>
    <row r="13998" spans="1:2" x14ac:dyDescent="0.4">
      <c r="A13998" s="4"/>
      <c r="B13998" s="4"/>
    </row>
    <row r="13999" spans="1:2" x14ac:dyDescent="0.4">
      <c r="A13999" s="4"/>
      <c r="B13999" s="4"/>
    </row>
    <row r="14000" spans="1:2" x14ac:dyDescent="0.4">
      <c r="A14000" s="4"/>
      <c r="B14000" s="4"/>
    </row>
    <row r="14001" spans="1:2" x14ac:dyDescent="0.4">
      <c r="A14001" s="4"/>
      <c r="B14001" s="4"/>
    </row>
    <row r="14002" spans="1:2" x14ac:dyDescent="0.4">
      <c r="A14002" s="4"/>
      <c r="B14002" s="4"/>
    </row>
    <row r="14003" spans="1:2" x14ac:dyDescent="0.4">
      <c r="A14003" s="4"/>
      <c r="B14003" s="4"/>
    </row>
    <row r="14004" spans="1:2" x14ac:dyDescent="0.4">
      <c r="A14004" s="4"/>
      <c r="B14004" s="4"/>
    </row>
    <row r="14005" spans="1:2" x14ac:dyDescent="0.4">
      <c r="A14005" s="4"/>
      <c r="B14005" s="4"/>
    </row>
    <row r="14006" spans="1:2" x14ac:dyDescent="0.4">
      <c r="A14006" s="4"/>
      <c r="B14006" s="4"/>
    </row>
    <row r="14007" spans="1:2" x14ac:dyDescent="0.4">
      <c r="A14007" s="4"/>
      <c r="B14007" s="4"/>
    </row>
    <row r="14008" spans="1:2" x14ac:dyDescent="0.4">
      <c r="A14008" s="4"/>
      <c r="B14008" s="4"/>
    </row>
    <row r="14009" spans="1:2" x14ac:dyDescent="0.4">
      <c r="A14009" s="4"/>
      <c r="B14009" s="4"/>
    </row>
    <row r="14010" spans="1:2" x14ac:dyDescent="0.4">
      <c r="A14010" s="4"/>
      <c r="B14010" s="4"/>
    </row>
    <row r="14011" spans="1:2" x14ac:dyDescent="0.4">
      <c r="A14011" s="4"/>
      <c r="B14011" s="4"/>
    </row>
    <row r="14012" spans="1:2" x14ac:dyDescent="0.4">
      <c r="A14012" s="4"/>
      <c r="B14012" s="4"/>
    </row>
    <row r="14013" spans="1:2" x14ac:dyDescent="0.4">
      <c r="A14013" s="4"/>
      <c r="B14013" s="4"/>
    </row>
    <row r="14014" spans="1:2" x14ac:dyDescent="0.4">
      <c r="A14014" s="4"/>
      <c r="B14014" s="4"/>
    </row>
    <row r="14015" spans="1:2" x14ac:dyDescent="0.4">
      <c r="A14015" s="4"/>
      <c r="B14015" s="4"/>
    </row>
    <row r="14016" spans="1:2" x14ac:dyDescent="0.4">
      <c r="A14016" s="4"/>
      <c r="B14016" s="4"/>
    </row>
    <row r="14017" spans="1:2" x14ac:dyDescent="0.4">
      <c r="A14017" s="4"/>
      <c r="B14017" s="4"/>
    </row>
    <row r="14018" spans="1:2" x14ac:dyDescent="0.4">
      <c r="A14018" s="4"/>
      <c r="B14018" s="4"/>
    </row>
    <row r="14019" spans="1:2" x14ac:dyDescent="0.4">
      <c r="A14019" s="4"/>
      <c r="B14019" s="4"/>
    </row>
    <row r="14020" spans="1:2" x14ac:dyDescent="0.4">
      <c r="A14020" s="4"/>
      <c r="B14020" s="4"/>
    </row>
    <row r="14021" spans="1:2" x14ac:dyDescent="0.4">
      <c r="A14021" s="4"/>
      <c r="B14021" s="4"/>
    </row>
    <row r="14022" spans="1:2" x14ac:dyDescent="0.4">
      <c r="A14022" s="4"/>
      <c r="B14022" s="4"/>
    </row>
    <row r="14023" spans="1:2" x14ac:dyDescent="0.4">
      <c r="A14023" s="4"/>
      <c r="B14023" s="4"/>
    </row>
    <row r="14024" spans="1:2" x14ac:dyDescent="0.4">
      <c r="A14024" s="4"/>
      <c r="B14024" s="4"/>
    </row>
    <row r="14025" spans="1:2" x14ac:dyDescent="0.4">
      <c r="A14025" s="4"/>
      <c r="B14025" s="4"/>
    </row>
    <row r="14026" spans="1:2" x14ac:dyDescent="0.4">
      <c r="A14026" s="4"/>
      <c r="B14026" s="4"/>
    </row>
    <row r="14027" spans="1:2" x14ac:dyDescent="0.4">
      <c r="A14027" s="4"/>
      <c r="B14027" s="4"/>
    </row>
    <row r="14028" spans="1:2" x14ac:dyDescent="0.4">
      <c r="A14028" s="4"/>
      <c r="B14028" s="4"/>
    </row>
    <row r="14029" spans="1:2" x14ac:dyDescent="0.4">
      <c r="A14029" s="4"/>
      <c r="B14029" s="4"/>
    </row>
    <row r="14030" spans="1:2" x14ac:dyDescent="0.4">
      <c r="A14030" s="4"/>
      <c r="B14030" s="4"/>
    </row>
    <row r="14031" spans="1:2" x14ac:dyDescent="0.4">
      <c r="A14031" s="4"/>
      <c r="B14031" s="4"/>
    </row>
    <row r="14032" spans="1:2" x14ac:dyDescent="0.4">
      <c r="A14032" s="4"/>
      <c r="B14032" s="4"/>
    </row>
    <row r="14033" spans="1:2" x14ac:dyDescent="0.4">
      <c r="A14033" s="4"/>
      <c r="B14033" s="4"/>
    </row>
    <row r="14034" spans="1:2" x14ac:dyDescent="0.4">
      <c r="A14034" s="4"/>
      <c r="B14034" s="4"/>
    </row>
    <row r="14035" spans="1:2" x14ac:dyDescent="0.4">
      <c r="A14035" s="4"/>
      <c r="B14035" s="4"/>
    </row>
    <row r="14036" spans="1:2" x14ac:dyDescent="0.4">
      <c r="A14036" s="4"/>
      <c r="B14036" s="4"/>
    </row>
    <row r="14037" spans="1:2" x14ac:dyDescent="0.4">
      <c r="A14037" s="4"/>
      <c r="B14037" s="4"/>
    </row>
    <row r="14038" spans="1:2" x14ac:dyDescent="0.4">
      <c r="A14038" s="4"/>
      <c r="B14038" s="4"/>
    </row>
    <row r="14039" spans="1:2" x14ac:dyDescent="0.4">
      <c r="A14039" s="4"/>
      <c r="B14039" s="4"/>
    </row>
    <row r="14040" spans="1:2" x14ac:dyDescent="0.4">
      <c r="A14040" s="4"/>
      <c r="B14040" s="4"/>
    </row>
    <row r="14041" spans="1:2" x14ac:dyDescent="0.4">
      <c r="A14041" s="4"/>
      <c r="B14041" s="4"/>
    </row>
    <row r="14042" spans="1:2" x14ac:dyDescent="0.4">
      <c r="A14042" s="4"/>
      <c r="B14042" s="4"/>
    </row>
    <row r="14043" spans="1:2" x14ac:dyDescent="0.4">
      <c r="A14043" s="4"/>
      <c r="B14043" s="4"/>
    </row>
    <row r="14044" spans="1:2" x14ac:dyDescent="0.4">
      <c r="A14044" s="4"/>
      <c r="B14044" s="4"/>
    </row>
    <row r="14045" spans="1:2" x14ac:dyDescent="0.4">
      <c r="A14045" s="4"/>
      <c r="B14045" s="4"/>
    </row>
    <row r="14046" spans="1:2" x14ac:dyDescent="0.4">
      <c r="A14046" s="4"/>
      <c r="B14046" s="4"/>
    </row>
    <row r="14047" spans="1:2" x14ac:dyDescent="0.4">
      <c r="A14047" s="4"/>
      <c r="B14047" s="4"/>
    </row>
    <row r="14048" spans="1:2" x14ac:dyDescent="0.4">
      <c r="A14048" s="4"/>
      <c r="B14048" s="4"/>
    </row>
    <row r="14049" spans="1:2" x14ac:dyDescent="0.4">
      <c r="A14049" s="4"/>
      <c r="B14049" s="4"/>
    </row>
    <row r="14050" spans="1:2" x14ac:dyDescent="0.4">
      <c r="A14050" s="4"/>
      <c r="B14050" s="4"/>
    </row>
    <row r="14051" spans="1:2" x14ac:dyDescent="0.4">
      <c r="A14051" s="4"/>
      <c r="B14051" s="4"/>
    </row>
    <row r="14052" spans="1:2" x14ac:dyDescent="0.4">
      <c r="A14052" s="4"/>
      <c r="B14052" s="4"/>
    </row>
    <row r="14053" spans="1:2" x14ac:dyDescent="0.4">
      <c r="A14053" s="4"/>
      <c r="B14053" s="4"/>
    </row>
    <row r="14054" spans="1:2" x14ac:dyDescent="0.4">
      <c r="A14054" s="4"/>
      <c r="B14054" s="4"/>
    </row>
    <row r="14055" spans="1:2" x14ac:dyDescent="0.4">
      <c r="A14055" s="4"/>
      <c r="B14055" s="4"/>
    </row>
    <row r="14056" spans="1:2" x14ac:dyDescent="0.4">
      <c r="A14056" s="4"/>
      <c r="B14056" s="4"/>
    </row>
    <row r="14057" spans="1:2" x14ac:dyDescent="0.4">
      <c r="A14057" s="4"/>
      <c r="B14057" s="4"/>
    </row>
    <row r="14058" spans="1:2" x14ac:dyDescent="0.4">
      <c r="A14058" s="4"/>
      <c r="B14058" s="4"/>
    </row>
    <row r="14059" spans="1:2" x14ac:dyDescent="0.4">
      <c r="A14059" s="4"/>
      <c r="B14059" s="4"/>
    </row>
    <row r="14060" spans="1:2" x14ac:dyDescent="0.4">
      <c r="A14060" s="4"/>
      <c r="B14060" s="4"/>
    </row>
    <row r="14061" spans="1:2" x14ac:dyDescent="0.4">
      <c r="A14061" s="4"/>
      <c r="B14061" s="4"/>
    </row>
    <row r="14062" spans="1:2" x14ac:dyDescent="0.4">
      <c r="A14062" s="4"/>
      <c r="B14062" s="4"/>
    </row>
    <row r="14063" spans="1:2" x14ac:dyDescent="0.4">
      <c r="A14063" s="4"/>
      <c r="B14063" s="4"/>
    </row>
    <row r="14064" spans="1:2" x14ac:dyDescent="0.4">
      <c r="A14064" s="4"/>
      <c r="B14064" s="4"/>
    </row>
    <row r="14065" spans="1:2" x14ac:dyDescent="0.4">
      <c r="A14065" s="4"/>
      <c r="B14065" s="4"/>
    </row>
    <row r="14066" spans="1:2" x14ac:dyDescent="0.4">
      <c r="A14066" s="4"/>
      <c r="B14066" s="4"/>
    </row>
    <row r="14067" spans="1:2" x14ac:dyDescent="0.4">
      <c r="A14067" s="4"/>
      <c r="B14067" s="4"/>
    </row>
    <row r="14068" spans="1:2" x14ac:dyDescent="0.4">
      <c r="A14068" s="4"/>
      <c r="B14068" s="4"/>
    </row>
    <row r="14069" spans="1:2" x14ac:dyDescent="0.4">
      <c r="A14069" s="4"/>
      <c r="B14069" s="4"/>
    </row>
    <row r="14070" spans="1:2" x14ac:dyDescent="0.4">
      <c r="A14070" s="4"/>
      <c r="B14070" s="4"/>
    </row>
    <row r="14071" spans="1:2" x14ac:dyDescent="0.4">
      <c r="A14071" s="4"/>
      <c r="B14071" s="4"/>
    </row>
    <row r="14072" spans="1:2" x14ac:dyDescent="0.4">
      <c r="A14072" s="4"/>
      <c r="B14072" s="4"/>
    </row>
    <row r="14073" spans="1:2" x14ac:dyDescent="0.4">
      <c r="A14073" s="4"/>
      <c r="B14073" s="4"/>
    </row>
    <row r="14074" spans="1:2" x14ac:dyDescent="0.4">
      <c r="A14074" s="4"/>
      <c r="B14074" s="4"/>
    </row>
    <row r="14075" spans="1:2" x14ac:dyDescent="0.4">
      <c r="A14075" s="4"/>
      <c r="B14075" s="4"/>
    </row>
    <row r="14076" spans="1:2" x14ac:dyDescent="0.4">
      <c r="A14076" s="4"/>
      <c r="B14076" s="4"/>
    </row>
    <row r="14077" spans="1:2" x14ac:dyDescent="0.4">
      <c r="A14077" s="4"/>
      <c r="B14077" s="4"/>
    </row>
    <row r="14078" spans="1:2" x14ac:dyDescent="0.4">
      <c r="A14078" s="4"/>
      <c r="B14078" s="4"/>
    </row>
    <row r="14079" spans="1:2" x14ac:dyDescent="0.4">
      <c r="A14079" s="4"/>
      <c r="B14079" s="4"/>
    </row>
    <row r="14080" spans="1:2" x14ac:dyDescent="0.4">
      <c r="A14080" s="4"/>
      <c r="B14080" s="4"/>
    </row>
    <row r="14081" spans="1:2" x14ac:dyDescent="0.4">
      <c r="A14081" s="4"/>
      <c r="B14081" s="4"/>
    </row>
    <row r="14082" spans="1:2" x14ac:dyDescent="0.4">
      <c r="A14082" s="4"/>
      <c r="B14082" s="4"/>
    </row>
    <row r="14083" spans="1:2" x14ac:dyDescent="0.4">
      <c r="A14083" s="4"/>
      <c r="B14083" s="4"/>
    </row>
    <row r="14084" spans="1:2" x14ac:dyDescent="0.4">
      <c r="A14084" s="4"/>
      <c r="B14084" s="4"/>
    </row>
    <row r="14085" spans="1:2" x14ac:dyDescent="0.4">
      <c r="A14085" s="4"/>
      <c r="B14085" s="4"/>
    </row>
    <row r="14086" spans="1:2" x14ac:dyDescent="0.4">
      <c r="A14086" s="4"/>
      <c r="B14086" s="4"/>
    </row>
    <row r="14087" spans="1:2" x14ac:dyDescent="0.4">
      <c r="A14087" s="4"/>
      <c r="B14087" s="4"/>
    </row>
    <row r="14088" spans="1:2" x14ac:dyDescent="0.4">
      <c r="A14088" s="4"/>
      <c r="B14088" s="4"/>
    </row>
    <row r="14089" spans="1:2" x14ac:dyDescent="0.4">
      <c r="A14089" s="4"/>
      <c r="B14089" s="4"/>
    </row>
    <row r="14090" spans="1:2" x14ac:dyDescent="0.4">
      <c r="A14090" s="4"/>
      <c r="B14090" s="4"/>
    </row>
    <row r="14091" spans="1:2" x14ac:dyDescent="0.4">
      <c r="A14091" s="4"/>
      <c r="B14091" s="4"/>
    </row>
    <row r="14092" spans="1:2" x14ac:dyDescent="0.4">
      <c r="A14092" s="4"/>
      <c r="B14092" s="4"/>
    </row>
    <row r="14093" spans="1:2" x14ac:dyDescent="0.4">
      <c r="A14093" s="4"/>
      <c r="B14093" s="4"/>
    </row>
    <row r="14094" spans="1:2" x14ac:dyDescent="0.4">
      <c r="A14094" s="4"/>
      <c r="B14094" s="4"/>
    </row>
    <row r="14095" spans="1:2" x14ac:dyDescent="0.4">
      <c r="A14095" s="4"/>
      <c r="B14095" s="4"/>
    </row>
    <row r="14096" spans="1:2" x14ac:dyDescent="0.4">
      <c r="A14096" s="4"/>
      <c r="B14096" s="4"/>
    </row>
    <row r="14097" spans="1:2" x14ac:dyDescent="0.4">
      <c r="A14097" s="4"/>
      <c r="B14097" s="4"/>
    </row>
    <row r="14098" spans="1:2" x14ac:dyDescent="0.4">
      <c r="A14098" s="4"/>
      <c r="B14098" s="4"/>
    </row>
    <row r="14099" spans="1:2" x14ac:dyDescent="0.4">
      <c r="A14099" s="4"/>
      <c r="B14099" s="4"/>
    </row>
    <row r="14100" spans="1:2" x14ac:dyDescent="0.4">
      <c r="A14100" s="4"/>
      <c r="B14100" s="4"/>
    </row>
    <row r="14101" spans="1:2" x14ac:dyDescent="0.4">
      <c r="A14101" s="4"/>
      <c r="B14101" s="4"/>
    </row>
    <row r="14102" spans="1:2" x14ac:dyDescent="0.4">
      <c r="A14102" s="4"/>
      <c r="B14102" s="4"/>
    </row>
    <row r="14103" spans="1:2" x14ac:dyDescent="0.4">
      <c r="A14103" s="4"/>
      <c r="B14103" s="4"/>
    </row>
    <row r="14104" spans="1:2" x14ac:dyDescent="0.4">
      <c r="A14104" s="4"/>
      <c r="B14104" s="4"/>
    </row>
    <row r="14105" spans="1:2" x14ac:dyDescent="0.4">
      <c r="A14105" s="4"/>
      <c r="B14105" s="4"/>
    </row>
    <row r="14106" spans="1:2" x14ac:dyDescent="0.4">
      <c r="A14106" s="4"/>
      <c r="B14106" s="4"/>
    </row>
    <row r="14107" spans="1:2" x14ac:dyDescent="0.4">
      <c r="A14107" s="4"/>
      <c r="B14107" s="4"/>
    </row>
    <row r="14108" spans="1:2" x14ac:dyDescent="0.4">
      <c r="A14108" s="4"/>
      <c r="B14108" s="4"/>
    </row>
    <row r="14109" spans="1:2" x14ac:dyDescent="0.4">
      <c r="A14109" s="4"/>
      <c r="B14109" s="4"/>
    </row>
    <row r="14110" spans="1:2" x14ac:dyDescent="0.4">
      <c r="A14110" s="4"/>
      <c r="B14110" s="4"/>
    </row>
    <row r="14111" spans="1:2" x14ac:dyDescent="0.4">
      <c r="A14111" s="4"/>
      <c r="B14111" s="4"/>
    </row>
    <row r="14112" spans="1:2" x14ac:dyDescent="0.4">
      <c r="A14112" s="4"/>
      <c r="B14112" s="4"/>
    </row>
    <row r="14113" spans="1:2" x14ac:dyDescent="0.4">
      <c r="A14113" s="4"/>
      <c r="B14113" s="4"/>
    </row>
    <row r="14114" spans="1:2" x14ac:dyDescent="0.4">
      <c r="A14114" s="4"/>
      <c r="B14114" s="4"/>
    </row>
    <row r="14115" spans="1:2" x14ac:dyDescent="0.4">
      <c r="A14115" s="4"/>
      <c r="B14115" s="4"/>
    </row>
    <row r="14116" spans="1:2" x14ac:dyDescent="0.4">
      <c r="A14116" s="4"/>
      <c r="B14116" s="4"/>
    </row>
    <row r="14117" spans="1:2" x14ac:dyDescent="0.4">
      <c r="A14117" s="4"/>
      <c r="B14117" s="4"/>
    </row>
    <row r="14118" spans="1:2" x14ac:dyDescent="0.4">
      <c r="A14118" s="4"/>
      <c r="B14118" s="4"/>
    </row>
    <row r="14119" spans="1:2" x14ac:dyDescent="0.4">
      <c r="A14119" s="4"/>
      <c r="B14119" s="4"/>
    </row>
    <row r="14120" spans="1:2" x14ac:dyDescent="0.4">
      <c r="A14120" s="4"/>
      <c r="B14120" s="4"/>
    </row>
    <row r="14121" spans="1:2" x14ac:dyDescent="0.4">
      <c r="A14121" s="4"/>
      <c r="B14121" s="4"/>
    </row>
    <row r="14122" spans="1:2" x14ac:dyDescent="0.4">
      <c r="A14122" s="4"/>
      <c r="B14122" s="4"/>
    </row>
    <row r="14123" spans="1:2" x14ac:dyDescent="0.4">
      <c r="A14123" s="4"/>
      <c r="B14123" s="4"/>
    </row>
    <row r="14124" spans="1:2" x14ac:dyDescent="0.4">
      <c r="A14124" s="4"/>
      <c r="B14124" s="4"/>
    </row>
    <row r="14125" spans="1:2" x14ac:dyDescent="0.4">
      <c r="A14125" s="4"/>
      <c r="B14125" s="4"/>
    </row>
    <row r="14126" spans="1:2" x14ac:dyDescent="0.4">
      <c r="A14126" s="4"/>
      <c r="B14126" s="4"/>
    </row>
    <row r="14127" spans="1:2" x14ac:dyDescent="0.4">
      <c r="A14127" s="4"/>
      <c r="B14127" s="4"/>
    </row>
    <row r="14128" spans="1:2" x14ac:dyDescent="0.4">
      <c r="A14128" s="4"/>
      <c r="B14128" s="4"/>
    </row>
    <row r="14129" spans="1:2" x14ac:dyDescent="0.4">
      <c r="A14129" s="4"/>
      <c r="B14129" s="4"/>
    </row>
    <row r="14130" spans="1:2" x14ac:dyDescent="0.4">
      <c r="A14130" s="4"/>
      <c r="B14130" s="4"/>
    </row>
    <row r="14131" spans="1:2" x14ac:dyDescent="0.4">
      <c r="A14131" s="4"/>
      <c r="B14131" s="4"/>
    </row>
    <row r="14132" spans="1:2" x14ac:dyDescent="0.4">
      <c r="A14132" s="4"/>
      <c r="B14132" s="4"/>
    </row>
    <row r="14133" spans="1:2" x14ac:dyDescent="0.4">
      <c r="A14133" s="4"/>
      <c r="B14133" s="4"/>
    </row>
    <row r="14134" spans="1:2" x14ac:dyDescent="0.4">
      <c r="A14134" s="4"/>
      <c r="B14134" s="4"/>
    </row>
    <row r="14135" spans="1:2" x14ac:dyDescent="0.4">
      <c r="A14135" s="4"/>
      <c r="B14135" s="4"/>
    </row>
    <row r="14136" spans="1:2" x14ac:dyDescent="0.4">
      <c r="A14136" s="4"/>
      <c r="B14136" s="4"/>
    </row>
    <row r="14137" spans="1:2" x14ac:dyDescent="0.4">
      <c r="A14137" s="4"/>
      <c r="B14137" s="4"/>
    </row>
    <row r="14138" spans="1:2" x14ac:dyDescent="0.4">
      <c r="A14138" s="4"/>
      <c r="B14138" s="4"/>
    </row>
    <row r="14139" spans="1:2" x14ac:dyDescent="0.4">
      <c r="A14139" s="4"/>
      <c r="B14139" s="4"/>
    </row>
    <row r="14140" spans="1:2" x14ac:dyDescent="0.4">
      <c r="A14140" s="4"/>
      <c r="B14140" s="4"/>
    </row>
    <row r="14141" spans="1:2" x14ac:dyDescent="0.4">
      <c r="A14141" s="4"/>
      <c r="B14141" s="4"/>
    </row>
    <row r="14142" spans="1:2" x14ac:dyDescent="0.4">
      <c r="A14142" s="4"/>
      <c r="B14142" s="4"/>
    </row>
    <row r="14143" spans="1:2" x14ac:dyDescent="0.4">
      <c r="A14143" s="4"/>
      <c r="B14143" s="4"/>
    </row>
    <row r="14144" spans="1:2" x14ac:dyDescent="0.4">
      <c r="A14144" s="4"/>
      <c r="B14144" s="4"/>
    </row>
    <row r="14145" spans="1:2" x14ac:dyDescent="0.4">
      <c r="A14145" s="4"/>
      <c r="B14145" s="4"/>
    </row>
    <row r="14146" spans="1:2" x14ac:dyDescent="0.4">
      <c r="A14146" s="4"/>
      <c r="B14146" s="4"/>
    </row>
    <row r="14147" spans="1:2" x14ac:dyDescent="0.4">
      <c r="A14147" s="4"/>
      <c r="B14147" s="4"/>
    </row>
    <row r="14148" spans="1:2" x14ac:dyDescent="0.4">
      <c r="A14148" s="4"/>
      <c r="B14148" s="4"/>
    </row>
    <row r="14149" spans="1:2" x14ac:dyDescent="0.4">
      <c r="A14149" s="4"/>
      <c r="B14149" s="4"/>
    </row>
    <row r="14150" spans="1:2" x14ac:dyDescent="0.4">
      <c r="A14150" s="4"/>
      <c r="B14150" s="4"/>
    </row>
    <row r="14151" spans="1:2" x14ac:dyDescent="0.4">
      <c r="A14151" s="4"/>
      <c r="B14151" s="4"/>
    </row>
    <row r="14152" spans="1:2" x14ac:dyDescent="0.4">
      <c r="A14152" s="4"/>
      <c r="B14152" s="4"/>
    </row>
    <row r="14153" spans="1:2" x14ac:dyDescent="0.4">
      <c r="A14153" s="4"/>
      <c r="B14153" s="4"/>
    </row>
    <row r="14154" spans="1:2" x14ac:dyDescent="0.4">
      <c r="A14154" s="4"/>
      <c r="B14154" s="4"/>
    </row>
    <row r="14155" spans="1:2" x14ac:dyDescent="0.4">
      <c r="A14155" s="4"/>
      <c r="B14155" s="4"/>
    </row>
    <row r="14156" spans="1:2" x14ac:dyDescent="0.4">
      <c r="A14156" s="4"/>
      <c r="B14156" s="4"/>
    </row>
    <row r="14157" spans="1:2" x14ac:dyDescent="0.4">
      <c r="A14157" s="4"/>
      <c r="B14157" s="4"/>
    </row>
    <row r="14158" spans="1:2" x14ac:dyDescent="0.4">
      <c r="A14158" s="4"/>
      <c r="B14158" s="4"/>
    </row>
    <row r="14159" spans="1:2" x14ac:dyDescent="0.4">
      <c r="A14159" s="4"/>
      <c r="B14159" s="4"/>
    </row>
    <row r="14160" spans="1:2" x14ac:dyDescent="0.4">
      <c r="A14160" s="4"/>
      <c r="B14160" s="4"/>
    </row>
    <row r="14161" spans="1:2" x14ac:dyDescent="0.4">
      <c r="A14161" s="4"/>
      <c r="B14161" s="4"/>
    </row>
    <row r="14162" spans="1:2" x14ac:dyDescent="0.4">
      <c r="A14162" s="4"/>
      <c r="B14162" s="4"/>
    </row>
    <row r="14163" spans="1:2" x14ac:dyDescent="0.4">
      <c r="A14163" s="4"/>
      <c r="B14163" s="4"/>
    </row>
    <row r="14164" spans="1:2" x14ac:dyDescent="0.4">
      <c r="A14164" s="4"/>
      <c r="B14164" s="4"/>
    </row>
    <row r="14165" spans="1:2" x14ac:dyDescent="0.4">
      <c r="A14165" s="4"/>
      <c r="B14165" s="4"/>
    </row>
    <row r="14166" spans="1:2" x14ac:dyDescent="0.4">
      <c r="A14166" s="4"/>
      <c r="B14166" s="4"/>
    </row>
    <row r="14167" spans="1:2" x14ac:dyDescent="0.4">
      <c r="A14167" s="4"/>
      <c r="B14167" s="4"/>
    </row>
    <row r="14168" spans="1:2" x14ac:dyDescent="0.4">
      <c r="A14168" s="4"/>
      <c r="B14168" s="4"/>
    </row>
    <row r="14169" spans="1:2" x14ac:dyDescent="0.4">
      <c r="A14169" s="4"/>
      <c r="B14169" s="4"/>
    </row>
    <row r="14170" spans="1:2" x14ac:dyDescent="0.4">
      <c r="A14170" s="4"/>
      <c r="B14170" s="4"/>
    </row>
    <row r="14171" spans="1:2" x14ac:dyDescent="0.4">
      <c r="A14171" s="4"/>
      <c r="B14171" s="4"/>
    </row>
    <row r="14172" spans="1:2" x14ac:dyDescent="0.4">
      <c r="A14172" s="4"/>
      <c r="B14172" s="4"/>
    </row>
    <row r="14173" spans="1:2" x14ac:dyDescent="0.4">
      <c r="A14173" s="4"/>
      <c r="B14173" s="4"/>
    </row>
    <row r="14174" spans="1:2" x14ac:dyDescent="0.4">
      <c r="A14174" s="4"/>
      <c r="B14174" s="4"/>
    </row>
    <row r="14175" spans="1:2" x14ac:dyDescent="0.4">
      <c r="A14175" s="4"/>
      <c r="B14175" s="4"/>
    </row>
    <row r="14176" spans="1:2" x14ac:dyDescent="0.4">
      <c r="A14176" s="4"/>
      <c r="B14176" s="4"/>
    </row>
    <row r="14177" spans="1:2" x14ac:dyDescent="0.4">
      <c r="A14177" s="4"/>
      <c r="B14177" s="4"/>
    </row>
    <row r="14178" spans="1:2" x14ac:dyDescent="0.4">
      <c r="A14178" s="4"/>
      <c r="B14178" s="4"/>
    </row>
    <row r="14179" spans="1:2" x14ac:dyDescent="0.4">
      <c r="A14179" s="4"/>
      <c r="B14179" s="4"/>
    </row>
    <row r="14180" spans="1:2" x14ac:dyDescent="0.4">
      <c r="A14180" s="4"/>
      <c r="B14180" s="4"/>
    </row>
    <row r="14181" spans="1:2" x14ac:dyDescent="0.4">
      <c r="A14181" s="4"/>
      <c r="B14181" s="4"/>
    </row>
    <row r="14182" spans="1:2" x14ac:dyDescent="0.4">
      <c r="A14182" s="4"/>
      <c r="B14182" s="4"/>
    </row>
    <row r="14183" spans="1:2" x14ac:dyDescent="0.4">
      <c r="A14183" s="4"/>
      <c r="B14183" s="4"/>
    </row>
    <row r="14184" spans="1:2" x14ac:dyDescent="0.4">
      <c r="A14184" s="4"/>
      <c r="B14184" s="4"/>
    </row>
    <row r="14185" spans="1:2" x14ac:dyDescent="0.4">
      <c r="A14185" s="4"/>
      <c r="B14185" s="4"/>
    </row>
    <row r="14186" spans="1:2" x14ac:dyDescent="0.4">
      <c r="A14186" s="4"/>
      <c r="B14186" s="4"/>
    </row>
    <row r="14187" spans="1:2" x14ac:dyDescent="0.4">
      <c r="A14187" s="4"/>
      <c r="B14187" s="4"/>
    </row>
    <row r="14188" spans="1:2" x14ac:dyDescent="0.4">
      <c r="A14188" s="4"/>
      <c r="B14188" s="4"/>
    </row>
    <row r="14189" spans="1:2" x14ac:dyDescent="0.4">
      <c r="A14189" s="4"/>
      <c r="B14189" s="4"/>
    </row>
    <row r="14190" spans="1:2" x14ac:dyDescent="0.4">
      <c r="A14190" s="4"/>
      <c r="B14190" s="4"/>
    </row>
    <row r="14191" spans="1:2" x14ac:dyDescent="0.4">
      <c r="A14191" s="4"/>
      <c r="B14191" s="4"/>
    </row>
    <row r="14192" spans="1:2" x14ac:dyDescent="0.4">
      <c r="A14192" s="4"/>
      <c r="B14192" s="4"/>
    </row>
    <row r="14193" spans="1:2" x14ac:dyDescent="0.4">
      <c r="A14193" s="4"/>
      <c r="B14193" s="4"/>
    </row>
    <row r="14194" spans="1:2" x14ac:dyDescent="0.4">
      <c r="A14194" s="4"/>
      <c r="B14194" s="4"/>
    </row>
    <row r="14195" spans="1:2" x14ac:dyDescent="0.4">
      <c r="A14195" s="4"/>
      <c r="B14195" s="4"/>
    </row>
    <row r="14196" spans="1:2" x14ac:dyDescent="0.4">
      <c r="A14196" s="4"/>
      <c r="B14196" s="4"/>
    </row>
    <row r="14197" spans="1:2" x14ac:dyDescent="0.4">
      <c r="A14197" s="4"/>
      <c r="B14197" s="4"/>
    </row>
    <row r="14198" spans="1:2" x14ac:dyDescent="0.4">
      <c r="A14198" s="4"/>
      <c r="B14198" s="4"/>
    </row>
    <row r="14199" spans="1:2" x14ac:dyDescent="0.4">
      <c r="A14199" s="4"/>
      <c r="B14199" s="4"/>
    </row>
    <row r="14200" spans="1:2" x14ac:dyDescent="0.4">
      <c r="A14200" s="4"/>
      <c r="B14200" s="4"/>
    </row>
    <row r="14201" spans="1:2" x14ac:dyDescent="0.4">
      <c r="A14201" s="4"/>
      <c r="B14201" s="4"/>
    </row>
    <row r="14202" spans="1:2" x14ac:dyDescent="0.4">
      <c r="A14202" s="4"/>
      <c r="B14202" s="4"/>
    </row>
    <row r="14203" spans="1:2" x14ac:dyDescent="0.4">
      <c r="A14203" s="4"/>
      <c r="B14203" s="4"/>
    </row>
    <row r="14204" spans="1:2" x14ac:dyDescent="0.4">
      <c r="A14204" s="4"/>
      <c r="B14204" s="4"/>
    </row>
    <row r="14205" spans="1:2" x14ac:dyDescent="0.4">
      <c r="A14205" s="4"/>
      <c r="B14205" s="4"/>
    </row>
    <row r="14206" spans="1:2" x14ac:dyDescent="0.4">
      <c r="A14206" s="4"/>
      <c r="B14206" s="4"/>
    </row>
    <row r="14207" spans="1:2" x14ac:dyDescent="0.4">
      <c r="A14207" s="4"/>
      <c r="B14207" s="4"/>
    </row>
    <row r="14208" spans="1:2" x14ac:dyDescent="0.4">
      <c r="A14208" s="4"/>
      <c r="B14208" s="4"/>
    </row>
    <row r="14209" spans="1:2" x14ac:dyDescent="0.4">
      <c r="A14209" s="4"/>
      <c r="B14209" s="4"/>
    </row>
    <row r="14210" spans="1:2" x14ac:dyDescent="0.4">
      <c r="A14210" s="4"/>
      <c r="B14210" s="4"/>
    </row>
    <row r="14211" spans="1:2" x14ac:dyDescent="0.4">
      <c r="A14211" s="4"/>
      <c r="B14211" s="4"/>
    </row>
    <row r="14212" spans="1:2" x14ac:dyDescent="0.4">
      <c r="A14212" s="4"/>
      <c r="B14212" s="4"/>
    </row>
    <row r="14213" spans="1:2" x14ac:dyDescent="0.4">
      <c r="A14213" s="4"/>
      <c r="B14213" s="4"/>
    </row>
    <row r="14214" spans="1:2" x14ac:dyDescent="0.4">
      <c r="A14214" s="4"/>
      <c r="B14214" s="4"/>
    </row>
    <row r="14215" spans="1:2" x14ac:dyDescent="0.4">
      <c r="A14215" s="4"/>
      <c r="B14215" s="4"/>
    </row>
    <row r="14216" spans="1:2" x14ac:dyDescent="0.4">
      <c r="A14216" s="4"/>
      <c r="B14216" s="4"/>
    </row>
    <row r="14217" spans="1:2" x14ac:dyDescent="0.4">
      <c r="A14217" s="4"/>
      <c r="B14217" s="4"/>
    </row>
    <row r="14218" spans="1:2" x14ac:dyDescent="0.4">
      <c r="A14218" s="4"/>
      <c r="B14218" s="4"/>
    </row>
    <row r="14219" spans="1:2" x14ac:dyDescent="0.4">
      <c r="A14219" s="4"/>
      <c r="B14219" s="4"/>
    </row>
    <row r="14220" spans="1:2" x14ac:dyDescent="0.4">
      <c r="A14220" s="4"/>
      <c r="B14220" s="4"/>
    </row>
    <row r="14221" spans="1:2" x14ac:dyDescent="0.4">
      <c r="A14221" s="4"/>
      <c r="B14221" s="4"/>
    </row>
    <row r="14222" spans="1:2" x14ac:dyDescent="0.4">
      <c r="A14222" s="4"/>
      <c r="B14222" s="4"/>
    </row>
    <row r="14223" spans="1:2" x14ac:dyDescent="0.4">
      <c r="A14223" s="4"/>
      <c r="B14223" s="4"/>
    </row>
    <row r="14224" spans="1:2" x14ac:dyDescent="0.4">
      <c r="A14224" s="4"/>
      <c r="B14224" s="4"/>
    </row>
    <row r="14225" spans="1:2" x14ac:dyDescent="0.4">
      <c r="A14225" s="4"/>
      <c r="B14225" s="4"/>
    </row>
    <row r="14226" spans="1:2" x14ac:dyDescent="0.4">
      <c r="A14226" s="4"/>
      <c r="B14226" s="4"/>
    </row>
    <row r="14227" spans="1:2" x14ac:dyDescent="0.4">
      <c r="A14227" s="4"/>
      <c r="B14227" s="4"/>
    </row>
    <row r="14228" spans="1:2" x14ac:dyDescent="0.4">
      <c r="A14228" s="4"/>
      <c r="B14228" s="4"/>
    </row>
    <row r="14229" spans="1:2" x14ac:dyDescent="0.4">
      <c r="A14229" s="4"/>
      <c r="B14229" s="4"/>
    </row>
    <row r="14230" spans="1:2" x14ac:dyDescent="0.4">
      <c r="A14230" s="4"/>
      <c r="B14230" s="4"/>
    </row>
    <row r="14231" spans="1:2" x14ac:dyDescent="0.4">
      <c r="A14231" s="4"/>
      <c r="B14231" s="4"/>
    </row>
    <row r="14232" spans="1:2" x14ac:dyDescent="0.4">
      <c r="A14232" s="4"/>
      <c r="B14232" s="4"/>
    </row>
    <row r="14233" spans="1:2" x14ac:dyDescent="0.4">
      <c r="A14233" s="4"/>
      <c r="B14233" s="4"/>
    </row>
    <row r="14234" spans="1:2" x14ac:dyDescent="0.4">
      <c r="A14234" s="4"/>
      <c r="B14234" s="4"/>
    </row>
    <row r="14235" spans="1:2" x14ac:dyDescent="0.4">
      <c r="A14235" s="4"/>
      <c r="B14235" s="4"/>
    </row>
    <row r="14236" spans="1:2" x14ac:dyDescent="0.4">
      <c r="A14236" s="4"/>
      <c r="B14236" s="4"/>
    </row>
    <row r="14237" spans="1:2" x14ac:dyDescent="0.4">
      <c r="A14237" s="4"/>
      <c r="B14237" s="4"/>
    </row>
    <row r="14238" spans="1:2" x14ac:dyDescent="0.4">
      <c r="A14238" s="4"/>
      <c r="B14238" s="4"/>
    </row>
    <row r="14239" spans="1:2" x14ac:dyDescent="0.4">
      <c r="A14239" s="4"/>
      <c r="B14239" s="4"/>
    </row>
    <row r="14240" spans="1:2" x14ac:dyDescent="0.4">
      <c r="A14240" s="4"/>
      <c r="B14240" s="4"/>
    </row>
    <row r="14241" spans="1:2" x14ac:dyDescent="0.4">
      <c r="A14241" s="4"/>
      <c r="B14241" s="4"/>
    </row>
    <row r="14242" spans="1:2" x14ac:dyDescent="0.4">
      <c r="A14242" s="4"/>
      <c r="B14242" s="4"/>
    </row>
    <row r="14243" spans="1:2" x14ac:dyDescent="0.4">
      <c r="A14243" s="4"/>
      <c r="B14243" s="4"/>
    </row>
    <row r="14244" spans="1:2" x14ac:dyDescent="0.4">
      <c r="A14244" s="4"/>
      <c r="B14244" s="4"/>
    </row>
    <row r="14245" spans="1:2" x14ac:dyDescent="0.4">
      <c r="A14245" s="4"/>
      <c r="B14245" s="4"/>
    </row>
    <row r="14246" spans="1:2" x14ac:dyDescent="0.4">
      <c r="A14246" s="4"/>
      <c r="B14246" s="4"/>
    </row>
    <row r="14247" spans="1:2" x14ac:dyDescent="0.4">
      <c r="A14247" s="4"/>
      <c r="B14247" s="4"/>
    </row>
    <row r="14248" spans="1:2" x14ac:dyDescent="0.4">
      <c r="A14248" s="4"/>
      <c r="B14248" s="4"/>
    </row>
    <row r="14249" spans="1:2" x14ac:dyDescent="0.4">
      <c r="A14249" s="4"/>
      <c r="B14249" s="4"/>
    </row>
    <row r="14250" spans="1:2" x14ac:dyDescent="0.4">
      <c r="A14250" s="4"/>
      <c r="B14250" s="4"/>
    </row>
    <row r="14251" spans="1:2" x14ac:dyDescent="0.4">
      <c r="A14251" s="4"/>
      <c r="B14251" s="4"/>
    </row>
    <row r="14252" spans="1:2" x14ac:dyDescent="0.4">
      <c r="A14252" s="4"/>
      <c r="B14252" s="4"/>
    </row>
    <row r="14253" spans="1:2" x14ac:dyDescent="0.4">
      <c r="A14253" s="4"/>
      <c r="B14253" s="4"/>
    </row>
    <row r="14254" spans="1:2" x14ac:dyDescent="0.4">
      <c r="A14254" s="4"/>
      <c r="B14254" s="4"/>
    </row>
    <row r="14255" spans="1:2" x14ac:dyDescent="0.4">
      <c r="A14255" s="4"/>
      <c r="B14255" s="4"/>
    </row>
    <row r="14256" spans="1:2" x14ac:dyDescent="0.4">
      <c r="A14256" s="4"/>
      <c r="B14256" s="4"/>
    </row>
    <row r="14257" spans="1:2" x14ac:dyDescent="0.4">
      <c r="A14257" s="4"/>
      <c r="B14257" s="4"/>
    </row>
    <row r="14258" spans="1:2" x14ac:dyDescent="0.4">
      <c r="A14258" s="4"/>
      <c r="B14258" s="4"/>
    </row>
    <row r="14259" spans="1:2" x14ac:dyDescent="0.4">
      <c r="A14259" s="4"/>
      <c r="B14259" s="4"/>
    </row>
    <row r="14260" spans="1:2" x14ac:dyDescent="0.4">
      <c r="A14260" s="4"/>
      <c r="B14260" s="4"/>
    </row>
    <row r="14261" spans="1:2" x14ac:dyDescent="0.4">
      <c r="A14261" s="4"/>
      <c r="B14261" s="4"/>
    </row>
    <row r="14262" spans="1:2" x14ac:dyDescent="0.4">
      <c r="A14262" s="4"/>
      <c r="B14262" s="4"/>
    </row>
    <row r="14263" spans="1:2" x14ac:dyDescent="0.4">
      <c r="A14263" s="4"/>
      <c r="B14263" s="4"/>
    </row>
    <row r="14264" spans="1:2" x14ac:dyDescent="0.4">
      <c r="A14264" s="4"/>
      <c r="B14264" s="4"/>
    </row>
    <row r="14265" spans="1:2" x14ac:dyDescent="0.4">
      <c r="A14265" s="4"/>
      <c r="B14265" s="4"/>
    </row>
    <row r="14266" spans="1:2" x14ac:dyDescent="0.4">
      <c r="A14266" s="4"/>
      <c r="B14266" s="4"/>
    </row>
    <row r="14267" spans="1:2" x14ac:dyDescent="0.4">
      <c r="A14267" s="4"/>
      <c r="B14267" s="4"/>
    </row>
    <row r="14268" spans="1:2" x14ac:dyDescent="0.4">
      <c r="A14268" s="4"/>
      <c r="B14268" s="4"/>
    </row>
    <row r="14269" spans="1:2" x14ac:dyDescent="0.4">
      <c r="A14269" s="4"/>
      <c r="B14269" s="4"/>
    </row>
    <row r="14270" spans="1:2" x14ac:dyDescent="0.4">
      <c r="A14270" s="4"/>
      <c r="B14270" s="4"/>
    </row>
    <row r="14271" spans="1:2" x14ac:dyDescent="0.4">
      <c r="A14271" s="4"/>
      <c r="B14271" s="4"/>
    </row>
    <row r="14272" spans="1:2" x14ac:dyDescent="0.4">
      <c r="A14272" s="4"/>
      <c r="B14272" s="4"/>
    </row>
    <row r="14273" spans="1:2" x14ac:dyDescent="0.4">
      <c r="A14273" s="4"/>
      <c r="B14273" s="4"/>
    </row>
    <row r="14274" spans="1:2" x14ac:dyDescent="0.4">
      <c r="A14274" s="4"/>
      <c r="B14274" s="4"/>
    </row>
    <row r="14275" spans="1:2" x14ac:dyDescent="0.4">
      <c r="A14275" s="4"/>
      <c r="B14275" s="4"/>
    </row>
    <row r="14276" spans="1:2" x14ac:dyDescent="0.4">
      <c r="A14276" s="4"/>
      <c r="B14276" s="4"/>
    </row>
    <row r="14277" spans="1:2" x14ac:dyDescent="0.4">
      <c r="A14277" s="4"/>
      <c r="B14277" s="4"/>
    </row>
    <row r="14278" spans="1:2" x14ac:dyDescent="0.4">
      <c r="A14278" s="4"/>
      <c r="B14278" s="4"/>
    </row>
    <row r="14279" spans="1:2" x14ac:dyDescent="0.4">
      <c r="A14279" s="4"/>
      <c r="B14279" s="4"/>
    </row>
    <row r="14280" spans="1:2" x14ac:dyDescent="0.4">
      <c r="A14280" s="4"/>
      <c r="B14280" s="4"/>
    </row>
    <row r="14281" spans="1:2" x14ac:dyDescent="0.4">
      <c r="A14281" s="4"/>
      <c r="B14281" s="4"/>
    </row>
    <row r="14282" spans="1:2" x14ac:dyDescent="0.4">
      <c r="A14282" s="4"/>
      <c r="B14282" s="4"/>
    </row>
    <row r="14283" spans="1:2" x14ac:dyDescent="0.4">
      <c r="A14283" s="4"/>
      <c r="B14283" s="4"/>
    </row>
    <row r="14284" spans="1:2" x14ac:dyDescent="0.4">
      <c r="A14284" s="4"/>
      <c r="B14284" s="4"/>
    </row>
    <row r="14285" spans="1:2" x14ac:dyDescent="0.4">
      <c r="A14285" s="4"/>
      <c r="B14285" s="4"/>
    </row>
    <row r="14286" spans="1:2" x14ac:dyDescent="0.4">
      <c r="A14286" s="4"/>
      <c r="B14286" s="4"/>
    </row>
    <row r="14287" spans="1:2" x14ac:dyDescent="0.4">
      <c r="A14287" s="4"/>
      <c r="B14287" s="4"/>
    </row>
    <row r="14288" spans="1:2" x14ac:dyDescent="0.4">
      <c r="A14288" s="4"/>
      <c r="B14288" s="4"/>
    </row>
    <row r="14289" spans="1:2" x14ac:dyDescent="0.4">
      <c r="A14289" s="4"/>
      <c r="B14289" s="4"/>
    </row>
    <row r="14290" spans="1:2" x14ac:dyDescent="0.4">
      <c r="A14290" s="4"/>
      <c r="B14290" s="4"/>
    </row>
    <row r="14291" spans="1:2" x14ac:dyDescent="0.4">
      <c r="A14291" s="4"/>
      <c r="B14291" s="4"/>
    </row>
    <row r="14292" spans="1:2" x14ac:dyDescent="0.4">
      <c r="A14292" s="4"/>
      <c r="B14292" s="4"/>
    </row>
    <row r="14293" spans="1:2" x14ac:dyDescent="0.4">
      <c r="A14293" s="4"/>
      <c r="B14293" s="4"/>
    </row>
    <row r="14294" spans="1:2" x14ac:dyDescent="0.4">
      <c r="A14294" s="4"/>
      <c r="B14294" s="4"/>
    </row>
    <row r="14295" spans="1:2" x14ac:dyDescent="0.4">
      <c r="A14295" s="4"/>
      <c r="B14295" s="4"/>
    </row>
    <row r="14296" spans="1:2" x14ac:dyDescent="0.4">
      <c r="A14296" s="4"/>
      <c r="B14296" s="4"/>
    </row>
    <row r="14297" spans="1:2" x14ac:dyDescent="0.4">
      <c r="A14297" s="4"/>
      <c r="B14297" s="4"/>
    </row>
    <row r="14298" spans="1:2" x14ac:dyDescent="0.4">
      <c r="A14298" s="4"/>
      <c r="B14298" s="4"/>
    </row>
    <row r="14299" spans="1:2" x14ac:dyDescent="0.4">
      <c r="A14299" s="4"/>
      <c r="B14299" s="4"/>
    </row>
    <row r="14300" spans="1:2" x14ac:dyDescent="0.4">
      <c r="A14300" s="4"/>
      <c r="B14300" s="4"/>
    </row>
    <row r="14301" spans="1:2" x14ac:dyDescent="0.4">
      <c r="A14301" s="4"/>
      <c r="B14301" s="4"/>
    </row>
    <row r="14302" spans="1:2" x14ac:dyDescent="0.4">
      <c r="A14302" s="4"/>
      <c r="B14302" s="4"/>
    </row>
    <row r="14303" spans="1:2" x14ac:dyDescent="0.4">
      <c r="A14303" s="4"/>
      <c r="B14303" s="4"/>
    </row>
    <row r="14304" spans="1:2" x14ac:dyDescent="0.4">
      <c r="A14304" s="4"/>
      <c r="B14304" s="4"/>
    </row>
    <row r="14305" spans="1:2" x14ac:dyDescent="0.4">
      <c r="A14305" s="4"/>
      <c r="B14305" s="4"/>
    </row>
    <row r="14306" spans="1:2" x14ac:dyDescent="0.4">
      <c r="A14306" s="4"/>
      <c r="B14306" s="4"/>
    </row>
    <row r="14307" spans="1:2" x14ac:dyDescent="0.4">
      <c r="A14307" s="4"/>
      <c r="B14307" s="4"/>
    </row>
    <row r="14308" spans="1:2" x14ac:dyDescent="0.4">
      <c r="A14308" s="4"/>
      <c r="B14308" s="4"/>
    </row>
    <row r="14309" spans="1:2" x14ac:dyDescent="0.4">
      <c r="A14309" s="4"/>
      <c r="B14309" s="4"/>
    </row>
    <row r="14310" spans="1:2" x14ac:dyDescent="0.4">
      <c r="A14310" s="4"/>
      <c r="B14310" s="4"/>
    </row>
    <row r="14311" spans="1:2" x14ac:dyDescent="0.4">
      <c r="A14311" s="4"/>
      <c r="B14311" s="4"/>
    </row>
    <row r="14312" spans="1:2" x14ac:dyDescent="0.4">
      <c r="A14312" s="4"/>
      <c r="B14312" s="4"/>
    </row>
    <row r="14313" spans="1:2" x14ac:dyDescent="0.4">
      <c r="A14313" s="4"/>
      <c r="B14313" s="4"/>
    </row>
    <row r="14314" spans="1:2" x14ac:dyDescent="0.4">
      <c r="A14314" s="4"/>
      <c r="B14314" s="4"/>
    </row>
    <row r="14315" spans="1:2" x14ac:dyDescent="0.4">
      <c r="A14315" s="4"/>
      <c r="B14315" s="4"/>
    </row>
    <row r="14316" spans="1:2" x14ac:dyDescent="0.4">
      <c r="A14316" s="4"/>
      <c r="B14316" s="4"/>
    </row>
    <row r="14317" spans="1:2" x14ac:dyDescent="0.4">
      <c r="A14317" s="4"/>
      <c r="B14317" s="4"/>
    </row>
    <row r="14318" spans="1:2" x14ac:dyDescent="0.4">
      <c r="A14318" s="4"/>
      <c r="B14318" s="4"/>
    </row>
    <row r="14319" spans="1:2" x14ac:dyDescent="0.4">
      <c r="A14319" s="4"/>
      <c r="B14319" s="4"/>
    </row>
    <row r="14320" spans="1:2" x14ac:dyDescent="0.4">
      <c r="A14320" s="4"/>
      <c r="B14320" s="4"/>
    </row>
    <row r="14321" spans="1:2" x14ac:dyDescent="0.4">
      <c r="A14321" s="4"/>
      <c r="B14321" s="4"/>
    </row>
    <row r="14322" spans="1:2" x14ac:dyDescent="0.4">
      <c r="A14322" s="4"/>
      <c r="B14322" s="4"/>
    </row>
    <row r="14323" spans="1:2" x14ac:dyDescent="0.4">
      <c r="A14323" s="4"/>
      <c r="B14323" s="4"/>
    </row>
    <row r="14324" spans="1:2" x14ac:dyDescent="0.4">
      <c r="A14324" s="4"/>
      <c r="B14324" s="4"/>
    </row>
    <row r="14325" spans="1:2" x14ac:dyDescent="0.4">
      <c r="A14325" s="4"/>
      <c r="B14325" s="4"/>
    </row>
    <row r="14326" spans="1:2" x14ac:dyDescent="0.4">
      <c r="A14326" s="4"/>
      <c r="B14326" s="4"/>
    </row>
    <row r="14327" spans="1:2" x14ac:dyDescent="0.4">
      <c r="A14327" s="4"/>
      <c r="B14327" s="4"/>
    </row>
    <row r="14328" spans="1:2" x14ac:dyDescent="0.4">
      <c r="A14328" s="4"/>
      <c r="B14328" s="4"/>
    </row>
    <row r="14329" spans="1:2" x14ac:dyDescent="0.4">
      <c r="A14329" s="4"/>
      <c r="B14329" s="4"/>
    </row>
    <row r="14330" spans="1:2" x14ac:dyDescent="0.4">
      <c r="A14330" s="4"/>
      <c r="B14330" s="4"/>
    </row>
    <row r="14331" spans="1:2" x14ac:dyDescent="0.4">
      <c r="A14331" s="4"/>
      <c r="B14331" s="4"/>
    </row>
    <row r="14332" spans="1:2" x14ac:dyDescent="0.4">
      <c r="A14332" s="4"/>
      <c r="B14332" s="4"/>
    </row>
    <row r="14333" spans="1:2" x14ac:dyDescent="0.4">
      <c r="A14333" s="4"/>
      <c r="B14333" s="4"/>
    </row>
    <row r="14334" spans="1:2" x14ac:dyDescent="0.4">
      <c r="A14334" s="4"/>
      <c r="B14334" s="4"/>
    </row>
    <row r="14335" spans="1:2" x14ac:dyDescent="0.4">
      <c r="A14335" s="4"/>
      <c r="B14335" s="4"/>
    </row>
    <row r="14336" spans="1:2" x14ac:dyDescent="0.4">
      <c r="A14336" s="4"/>
      <c r="B14336" s="4"/>
    </row>
    <row r="14337" spans="1:2" x14ac:dyDescent="0.4">
      <c r="A14337" s="4"/>
      <c r="B14337" s="4"/>
    </row>
    <row r="14338" spans="1:2" x14ac:dyDescent="0.4">
      <c r="A14338" s="4"/>
      <c r="B14338" s="4"/>
    </row>
    <row r="14339" spans="1:2" x14ac:dyDescent="0.4">
      <c r="A14339" s="4"/>
      <c r="B14339" s="4"/>
    </row>
    <row r="14340" spans="1:2" x14ac:dyDescent="0.4">
      <c r="A14340" s="4"/>
      <c r="B14340" s="4"/>
    </row>
    <row r="14341" spans="1:2" x14ac:dyDescent="0.4">
      <c r="A14341" s="4"/>
      <c r="B14341" s="4"/>
    </row>
    <row r="14342" spans="1:2" x14ac:dyDescent="0.4">
      <c r="A14342" s="4"/>
      <c r="B14342" s="4"/>
    </row>
    <row r="14343" spans="1:2" x14ac:dyDescent="0.4">
      <c r="A14343" s="4"/>
      <c r="B14343" s="4"/>
    </row>
    <row r="14344" spans="1:2" x14ac:dyDescent="0.4">
      <c r="A14344" s="4"/>
      <c r="B14344" s="4"/>
    </row>
    <row r="14345" spans="1:2" x14ac:dyDescent="0.4">
      <c r="A14345" s="4"/>
      <c r="B14345" s="4"/>
    </row>
    <row r="14346" spans="1:2" x14ac:dyDescent="0.4">
      <c r="A14346" s="4"/>
      <c r="B14346" s="4"/>
    </row>
    <row r="14347" spans="1:2" x14ac:dyDescent="0.4">
      <c r="A14347" s="4"/>
      <c r="B14347" s="4"/>
    </row>
    <row r="14348" spans="1:2" x14ac:dyDescent="0.4">
      <c r="A14348" s="4"/>
      <c r="B14348" s="4"/>
    </row>
    <row r="14349" spans="1:2" x14ac:dyDescent="0.4">
      <c r="A14349" s="4"/>
      <c r="B14349" s="4"/>
    </row>
    <row r="14350" spans="1:2" x14ac:dyDescent="0.4">
      <c r="A14350" s="4"/>
      <c r="B14350" s="4"/>
    </row>
    <row r="14351" spans="1:2" x14ac:dyDescent="0.4">
      <c r="A14351" s="4"/>
      <c r="B14351" s="4"/>
    </row>
    <row r="14352" spans="1:2" x14ac:dyDescent="0.4">
      <c r="A14352" s="4"/>
      <c r="B14352" s="4"/>
    </row>
    <row r="14353" spans="1:2" x14ac:dyDescent="0.4">
      <c r="A14353" s="4"/>
      <c r="B14353" s="4"/>
    </row>
    <row r="14354" spans="1:2" x14ac:dyDescent="0.4">
      <c r="A14354" s="4"/>
      <c r="B14354" s="4"/>
    </row>
    <row r="14355" spans="1:2" x14ac:dyDescent="0.4">
      <c r="A14355" s="4"/>
      <c r="B14355" s="4"/>
    </row>
    <row r="14356" spans="1:2" x14ac:dyDescent="0.4">
      <c r="A14356" s="4"/>
      <c r="B14356" s="4"/>
    </row>
    <row r="14357" spans="1:2" x14ac:dyDescent="0.4">
      <c r="A14357" s="4"/>
      <c r="B14357" s="4"/>
    </row>
    <row r="14358" spans="1:2" x14ac:dyDescent="0.4">
      <c r="A14358" s="4"/>
      <c r="B14358" s="4"/>
    </row>
    <row r="14359" spans="1:2" x14ac:dyDescent="0.4">
      <c r="A14359" s="4"/>
      <c r="B14359" s="4"/>
    </row>
    <row r="14360" spans="1:2" x14ac:dyDescent="0.4">
      <c r="A14360" s="4"/>
      <c r="B14360" s="4"/>
    </row>
    <row r="14361" spans="1:2" x14ac:dyDescent="0.4">
      <c r="A14361" s="4"/>
      <c r="B14361" s="4"/>
    </row>
    <row r="14362" spans="1:2" x14ac:dyDescent="0.4">
      <c r="A14362" s="4"/>
      <c r="B14362" s="4"/>
    </row>
    <row r="14363" spans="1:2" x14ac:dyDescent="0.4">
      <c r="A14363" s="4"/>
      <c r="B14363" s="4"/>
    </row>
    <row r="14364" spans="1:2" x14ac:dyDescent="0.4">
      <c r="A14364" s="4"/>
      <c r="B14364" s="4"/>
    </row>
    <row r="14365" spans="1:2" x14ac:dyDescent="0.4">
      <c r="A14365" s="4"/>
      <c r="B14365" s="4"/>
    </row>
    <row r="14366" spans="1:2" x14ac:dyDescent="0.4">
      <c r="A14366" s="4"/>
      <c r="B14366" s="4"/>
    </row>
    <row r="14367" spans="1:2" x14ac:dyDescent="0.4">
      <c r="A14367" s="4"/>
      <c r="B14367" s="4"/>
    </row>
    <row r="14368" spans="1:2" x14ac:dyDescent="0.4">
      <c r="A14368" s="4"/>
      <c r="B14368" s="4"/>
    </row>
    <row r="14369" spans="1:2" x14ac:dyDescent="0.4">
      <c r="A14369" s="4"/>
      <c r="B14369" s="4"/>
    </row>
    <row r="14370" spans="1:2" x14ac:dyDescent="0.4">
      <c r="A14370" s="4"/>
      <c r="B14370" s="4"/>
    </row>
    <row r="14371" spans="1:2" x14ac:dyDescent="0.4">
      <c r="A14371" s="4"/>
      <c r="B14371" s="4"/>
    </row>
    <row r="14372" spans="1:2" x14ac:dyDescent="0.4">
      <c r="A14372" s="4"/>
      <c r="B14372" s="4"/>
    </row>
    <row r="14373" spans="1:2" x14ac:dyDescent="0.4">
      <c r="A14373" s="4"/>
      <c r="B14373" s="4"/>
    </row>
    <row r="14374" spans="1:2" x14ac:dyDescent="0.4">
      <c r="A14374" s="4"/>
      <c r="B14374" s="4"/>
    </row>
    <row r="14375" spans="1:2" x14ac:dyDescent="0.4">
      <c r="A14375" s="4"/>
      <c r="B14375" s="4"/>
    </row>
    <row r="14376" spans="1:2" x14ac:dyDescent="0.4">
      <c r="A14376" s="4"/>
      <c r="B14376" s="4"/>
    </row>
    <row r="14377" spans="1:2" x14ac:dyDescent="0.4">
      <c r="A14377" s="4"/>
      <c r="B14377" s="4"/>
    </row>
    <row r="14378" spans="1:2" x14ac:dyDescent="0.4">
      <c r="A14378" s="4"/>
      <c r="B14378" s="4"/>
    </row>
    <row r="14379" spans="1:2" x14ac:dyDescent="0.4">
      <c r="A14379" s="4"/>
      <c r="B14379" s="4"/>
    </row>
    <row r="14380" spans="1:2" x14ac:dyDescent="0.4">
      <c r="A14380" s="4"/>
      <c r="B14380" s="4"/>
    </row>
    <row r="14381" spans="1:2" x14ac:dyDescent="0.4">
      <c r="A14381" s="4"/>
      <c r="B14381" s="4"/>
    </row>
    <row r="14382" spans="1:2" x14ac:dyDescent="0.4">
      <c r="A14382" s="4"/>
      <c r="B14382" s="4"/>
    </row>
    <row r="14383" spans="1:2" x14ac:dyDescent="0.4">
      <c r="A14383" s="4"/>
      <c r="B14383" s="4"/>
    </row>
    <row r="14384" spans="1:2" x14ac:dyDescent="0.4">
      <c r="A14384" s="4"/>
      <c r="B14384" s="4"/>
    </row>
    <row r="14385" spans="1:2" x14ac:dyDescent="0.4">
      <c r="A14385" s="4"/>
      <c r="B14385" s="4"/>
    </row>
    <row r="14386" spans="1:2" x14ac:dyDescent="0.4">
      <c r="A14386" s="4"/>
      <c r="B14386" s="4"/>
    </row>
    <row r="14387" spans="1:2" x14ac:dyDescent="0.4">
      <c r="A14387" s="4"/>
      <c r="B14387" s="4"/>
    </row>
    <row r="14388" spans="1:2" x14ac:dyDescent="0.4">
      <c r="A14388" s="4"/>
      <c r="B14388" s="4"/>
    </row>
    <row r="14389" spans="1:2" x14ac:dyDescent="0.4">
      <c r="A14389" s="4"/>
      <c r="B14389" s="4"/>
    </row>
    <row r="14390" spans="1:2" x14ac:dyDescent="0.4">
      <c r="A14390" s="4"/>
      <c r="B14390" s="4"/>
    </row>
    <row r="14391" spans="1:2" x14ac:dyDescent="0.4">
      <c r="A14391" s="4"/>
      <c r="B14391" s="4"/>
    </row>
    <row r="14392" spans="1:2" x14ac:dyDescent="0.4">
      <c r="A14392" s="4"/>
      <c r="B14392" s="4"/>
    </row>
    <row r="14393" spans="1:2" x14ac:dyDescent="0.4">
      <c r="A14393" s="4"/>
      <c r="B14393" s="4"/>
    </row>
    <row r="14394" spans="1:2" x14ac:dyDescent="0.4">
      <c r="A14394" s="4"/>
      <c r="B14394" s="4"/>
    </row>
    <row r="14395" spans="1:2" x14ac:dyDescent="0.4">
      <c r="A14395" s="4"/>
      <c r="B14395" s="4"/>
    </row>
    <row r="14396" spans="1:2" x14ac:dyDescent="0.4">
      <c r="A14396" s="4"/>
      <c r="B14396" s="4"/>
    </row>
    <row r="14397" spans="1:2" x14ac:dyDescent="0.4">
      <c r="A14397" s="4"/>
      <c r="B14397" s="4"/>
    </row>
    <row r="14398" spans="1:2" x14ac:dyDescent="0.4">
      <c r="A14398" s="4"/>
      <c r="B14398" s="4"/>
    </row>
    <row r="14399" spans="1:2" x14ac:dyDescent="0.4">
      <c r="A14399" s="4"/>
      <c r="B14399" s="4"/>
    </row>
    <row r="14400" spans="1:2" x14ac:dyDescent="0.4">
      <c r="A14400" s="4"/>
      <c r="B14400" s="4"/>
    </row>
    <row r="14401" spans="1:2" x14ac:dyDescent="0.4">
      <c r="A14401" s="4"/>
      <c r="B14401" s="4"/>
    </row>
    <row r="14402" spans="1:2" x14ac:dyDescent="0.4">
      <c r="A14402" s="4"/>
      <c r="B14402" s="4"/>
    </row>
    <row r="14403" spans="1:2" x14ac:dyDescent="0.4">
      <c r="A14403" s="4"/>
      <c r="B14403" s="4"/>
    </row>
    <row r="14404" spans="1:2" x14ac:dyDescent="0.4">
      <c r="A14404" s="4"/>
      <c r="B14404" s="4"/>
    </row>
    <row r="14405" spans="1:2" x14ac:dyDescent="0.4">
      <c r="A14405" s="4"/>
      <c r="B14405" s="4"/>
    </row>
    <row r="14406" spans="1:2" x14ac:dyDescent="0.4">
      <c r="A14406" s="4"/>
      <c r="B14406" s="4"/>
    </row>
    <row r="14407" spans="1:2" x14ac:dyDescent="0.4">
      <c r="A14407" s="4"/>
      <c r="B14407" s="4"/>
    </row>
    <row r="14408" spans="1:2" x14ac:dyDescent="0.4">
      <c r="A14408" s="4"/>
      <c r="B14408" s="4"/>
    </row>
    <row r="14409" spans="1:2" x14ac:dyDescent="0.4">
      <c r="A14409" s="4"/>
      <c r="B14409" s="4"/>
    </row>
    <row r="14410" spans="1:2" x14ac:dyDescent="0.4">
      <c r="A14410" s="4"/>
      <c r="B14410" s="4"/>
    </row>
    <row r="14411" spans="1:2" x14ac:dyDescent="0.4">
      <c r="A14411" s="4"/>
      <c r="B14411" s="4"/>
    </row>
    <row r="14412" spans="1:2" x14ac:dyDescent="0.4">
      <c r="A14412" s="4"/>
      <c r="B14412" s="4"/>
    </row>
    <row r="14413" spans="1:2" x14ac:dyDescent="0.4">
      <c r="A14413" s="4"/>
      <c r="B14413" s="4"/>
    </row>
    <row r="14414" spans="1:2" x14ac:dyDescent="0.4">
      <c r="A14414" s="4"/>
      <c r="B14414" s="4"/>
    </row>
    <row r="14415" spans="1:2" x14ac:dyDescent="0.4">
      <c r="A14415" s="4"/>
      <c r="B14415" s="4"/>
    </row>
    <row r="14416" spans="1:2" x14ac:dyDescent="0.4">
      <c r="A14416" s="4"/>
      <c r="B14416" s="4"/>
    </row>
    <row r="14417" spans="1:2" x14ac:dyDescent="0.4">
      <c r="A14417" s="4"/>
      <c r="B14417" s="4"/>
    </row>
    <row r="14418" spans="1:2" x14ac:dyDescent="0.4">
      <c r="A14418" s="4"/>
      <c r="B14418" s="4"/>
    </row>
    <row r="14419" spans="1:2" x14ac:dyDescent="0.4">
      <c r="A14419" s="4"/>
      <c r="B14419" s="4"/>
    </row>
    <row r="14420" spans="1:2" x14ac:dyDescent="0.4">
      <c r="A14420" s="4"/>
      <c r="B14420" s="4"/>
    </row>
    <row r="14421" spans="1:2" x14ac:dyDescent="0.4">
      <c r="A14421" s="4"/>
      <c r="B14421" s="4"/>
    </row>
    <row r="14422" spans="1:2" x14ac:dyDescent="0.4">
      <c r="A14422" s="4"/>
      <c r="B14422" s="4"/>
    </row>
    <row r="14423" spans="1:2" x14ac:dyDescent="0.4">
      <c r="A14423" s="4"/>
      <c r="B14423" s="4"/>
    </row>
    <row r="14424" spans="1:2" x14ac:dyDescent="0.4">
      <c r="A14424" s="4"/>
      <c r="B14424" s="4"/>
    </row>
    <row r="14425" spans="1:2" x14ac:dyDescent="0.4">
      <c r="A14425" s="4"/>
      <c r="B14425" s="4"/>
    </row>
    <row r="14426" spans="1:2" x14ac:dyDescent="0.4">
      <c r="A14426" s="4"/>
      <c r="B14426" s="4"/>
    </row>
    <row r="14427" spans="1:2" x14ac:dyDescent="0.4">
      <c r="A14427" s="4"/>
      <c r="B14427" s="4"/>
    </row>
    <row r="14428" spans="1:2" x14ac:dyDescent="0.4">
      <c r="A14428" s="4"/>
      <c r="B14428" s="4"/>
    </row>
    <row r="14429" spans="1:2" x14ac:dyDescent="0.4">
      <c r="A14429" s="4"/>
      <c r="B14429" s="4"/>
    </row>
    <row r="14430" spans="1:2" x14ac:dyDescent="0.4">
      <c r="A14430" s="4"/>
      <c r="B14430" s="4"/>
    </row>
    <row r="14431" spans="1:2" x14ac:dyDescent="0.4">
      <c r="A14431" s="4"/>
      <c r="B14431" s="4"/>
    </row>
    <row r="14432" spans="1:2" x14ac:dyDescent="0.4">
      <c r="A14432" s="4"/>
      <c r="B14432" s="4"/>
    </row>
    <row r="14433" spans="1:2" x14ac:dyDescent="0.4">
      <c r="A14433" s="4"/>
      <c r="B14433" s="4"/>
    </row>
    <row r="14434" spans="1:2" x14ac:dyDescent="0.4">
      <c r="A14434" s="4"/>
      <c r="B14434" s="4"/>
    </row>
    <row r="14435" spans="1:2" x14ac:dyDescent="0.4">
      <c r="A14435" s="4"/>
      <c r="B14435" s="4"/>
    </row>
    <row r="14436" spans="1:2" x14ac:dyDescent="0.4">
      <c r="A14436" s="4"/>
      <c r="B14436" s="4"/>
    </row>
    <row r="14437" spans="1:2" x14ac:dyDescent="0.4">
      <c r="A14437" s="4"/>
      <c r="B14437" s="4"/>
    </row>
    <row r="14438" spans="1:2" x14ac:dyDescent="0.4">
      <c r="A14438" s="4"/>
      <c r="B14438" s="4"/>
    </row>
    <row r="14439" spans="1:2" x14ac:dyDescent="0.4">
      <c r="A14439" s="4"/>
      <c r="B14439" s="4"/>
    </row>
    <row r="14440" spans="1:2" x14ac:dyDescent="0.4">
      <c r="A14440" s="4"/>
      <c r="B14440" s="4"/>
    </row>
    <row r="14441" spans="1:2" x14ac:dyDescent="0.4">
      <c r="A14441" s="4"/>
      <c r="B14441" s="4"/>
    </row>
    <row r="14442" spans="1:2" x14ac:dyDescent="0.4">
      <c r="A14442" s="4"/>
      <c r="B14442" s="4"/>
    </row>
    <row r="14443" spans="1:2" x14ac:dyDescent="0.4">
      <c r="A14443" s="4"/>
      <c r="B14443" s="4"/>
    </row>
    <row r="14444" spans="1:2" x14ac:dyDescent="0.4">
      <c r="A14444" s="4"/>
      <c r="B14444" s="4"/>
    </row>
    <row r="14445" spans="1:2" x14ac:dyDescent="0.4">
      <c r="A14445" s="4"/>
      <c r="B14445" s="4"/>
    </row>
    <row r="14446" spans="1:2" x14ac:dyDescent="0.4">
      <c r="A14446" s="4"/>
      <c r="B14446" s="4"/>
    </row>
    <row r="14447" spans="1:2" x14ac:dyDescent="0.4">
      <c r="A14447" s="4"/>
      <c r="B14447" s="4"/>
    </row>
    <row r="14448" spans="1:2" x14ac:dyDescent="0.4">
      <c r="A14448" s="4"/>
      <c r="B14448" s="4"/>
    </row>
    <row r="14449" spans="1:2" x14ac:dyDescent="0.4">
      <c r="A14449" s="4"/>
      <c r="B14449" s="4"/>
    </row>
    <row r="14450" spans="1:2" x14ac:dyDescent="0.4">
      <c r="A14450" s="4"/>
      <c r="B14450" s="4"/>
    </row>
    <row r="14451" spans="1:2" x14ac:dyDescent="0.4">
      <c r="A14451" s="4"/>
      <c r="B14451" s="4"/>
    </row>
    <row r="14452" spans="1:2" x14ac:dyDescent="0.4">
      <c r="A14452" s="4"/>
      <c r="B14452" s="4"/>
    </row>
    <row r="14453" spans="1:2" x14ac:dyDescent="0.4">
      <c r="A14453" s="4"/>
      <c r="B14453" s="4"/>
    </row>
    <row r="14454" spans="1:2" x14ac:dyDescent="0.4">
      <c r="A14454" s="4"/>
      <c r="B14454" s="4"/>
    </row>
    <row r="14455" spans="1:2" x14ac:dyDescent="0.4">
      <c r="A14455" s="4"/>
      <c r="B14455" s="4"/>
    </row>
    <row r="14456" spans="1:2" x14ac:dyDescent="0.4">
      <c r="A14456" s="4"/>
      <c r="B14456" s="4"/>
    </row>
    <row r="14457" spans="1:2" x14ac:dyDescent="0.4">
      <c r="A14457" s="4"/>
      <c r="B14457" s="4"/>
    </row>
    <row r="14458" spans="1:2" x14ac:dyDescent="0.4">
      <c r="A14458" s="4"/>
      <c r="B14458" s="4"/>
    </row>
    <row r="14459" spans="1:2" x14ac:dyDescent="0.4">
      <c r="A14459" s="4"/>
      <c r="B14459" s="4"/>
    </row>
    <row r="14460" spans="1:2" x14ac:dyDescent="0.4">
      <c r="A14460" s="4"/>
      <c r="B14460" s="4"/>
    </row>
    <row r="14461" spans="1:2" x14ac:dyDescent="0.4">
      <c r="A14461" s="4"/>
      <c r="B14461" s="4"/>
    </row>
    <row r="14462" spans="1:2" x14ac:dyDescent="0.4">
      <c r="A14462" s="4"/>
      <c r="B14462" s="4"/>
    </row>
    <row r="14463" spans="1:2" x14ac:dyDescent="0.4">
      <c r="A14463" s="4"/>
      <c r="B14463" s="4"/>
    </row>
    <row r="14464" spans="1:2" x14ac:dyDescent="0.4">
      <c r="A14464" s="4"/>
      <c r="B14464" s="4"/>
    </row>
    <row r="14465" spans="1:2" x14ac:dyDescent="0.4">
      <c r="A14465" s="4"/>
      <c r="B14465" s="4"/>
    </row>
    <row r="14466" spans="1:2" x14ac:dyDescent="0.4">
      <c r="A14466" s="4"/>
      <c r="B14466" s="4"/>
    </row>
    <row r="14467" spans="1:2" x14ac:dyDescent="0.4">
      <c r="A14467" s="4"/>
      <c r="B14467" s="4"/>
    </row>
    <row r="14468" spans="1:2" x14ac:dyDescent="0.4">
      <c r="A14468" s="4"/>
      <c r="B14468" s="4"/>
    </row>
    <row r="14469" spans="1:2" x14ac:dyDescent="0.4">
      <c r="A14469" s="4"/>
      <c r="B14469" s="4"/>
    </row>
    <row r="14470" spans="1:2" x14ac:dyDescent="0.4">
      <c r="A14470" s="4"/>
      <c r="B14470" s="4"/>
    </row>
    <row r="14471" spans="1:2" x14ac:dyDescent="0.4">
      <c r="A14471" s="4"/>
      <c r="B14471" s="4"/>
    </row>
    <row r="14472" spans="1:2" x14ac:dyDescent="0.4">
      <c r="A14472" s="4"/>
      <c r="B14472" s="4"/>
    </row>
    <row r="14473" spans="1:2" x14ac:dyDescent="0.4">
      <c r="A14473" s="4"/>
      <c r="B14473" s="4"/>
    </row>
    <row r="14474" spans="1:2" x14ac:dyDescent="0.4">
      <c r="A14474" s="4"/>
      <c r="B14474" s="4"/>
    </row>
    <row r="14475" spans="1:2" x14ac:dyDescent="0.4">
      <c r="A14475" s="4"/>
      <c r="B14475" s="4"/>
    </row>
    <row r="14476" spans="1:2" x14ac:dyDescent="0.4">
      <c r="A14476" s="4"/>
      <c r="B14476" s="4"/>
    </row>
    <row r="14477" spans="1:2" x14ac:dyDescent="0.4">
      <c r="A14477" s="4"/>
      <c r="B14477" s="4"/>
    </row>
    <row r="14478" spans="1:2" x14ac:dyDescent="0.4">
      <c r="A14478" s="4"/>
      <c r="B14478" s="4"/>
    </row>
    <row r="14479" spans="1:2" x14ac:dyDescent="0.4">
      <c r="A14479" s="4"/>
      <c r="B14479" s="4"/>
    </row>
    <row r="14480" spans="1:2" x14ac:dyDescent="0.4">
      <c r="A14480" s="4"/>
      <c r="B14480" s="4"/>
    </row>
    <row r="14481" spans="1:2" x14ac:dyDescent="0.4">
      <c r="A14481" s="4"/>
      <c r="B14481" s="4"/>
    </row>
    <row r="14482" spans="1:2" x14ac:dyDescent="0.4">
      <c r="A14482" s="4"/>
      <c r="B14482" s="4"/>
    </row>
    <row r="14483" spans="1:2" x14ac:dyDescent="0.4">
      <c r="A14483" s="4"/>
      <c r="B14483" s="4"/>
    </row>
    <row r="14484" spans="1:2" x14ac:dyDescent="0.4">
      <c r="A14484" s="4"/>
      <c r="B14484" s="4"/>
    </row>
    <row r="14485" spans="1:2" x14ac:dyDescent="0.4">
      <c r="A14485" s="4"/>
      <c r="B14485" s="4"/>
    </row>
    <row r="14486" spans="1:2" x14ac:dyDescent="0.4">
      <c r="A14486" s="4"/>
      <c r="B14486" s="4"/>
    </row>
    <row r="14487" spans="1:2" x14ac:dyDescent="0.4">
      <c r="A14487" s="4"/>
      <c r="B14487" s="4"/>
    </row>
    <row r="14488" spans="1:2" x14ac:dyDescent="0.4">
      <c r="A14488" s="4"/>
      <c r="B14488" s="4"/>
    </row>
    <row r="14489" spans="1:2" x14ac:dyDescent="0.4">
      <c r="A14489" s="4"/>
      <c r="B14489" s="4"/>
    </row>
    <row r="14490" spans="1:2" x14ac:dyDescent="0.4">
      <c r="A14490" s="4"/>
      <c r="B14490" s="4"/>
    </row>
    <row r="14491" spans="1:2" x14ac:dyDescent="0.4">
      <c r="A14491" s="4"/>
      <c r="B14491" s="4"/>
    </row>
    <row r="14492" spans="1:2" x14ac:dyDescent="0.4">
      <c r="A14492" s="4"/>
      <c r="B14492" s="4"/>
    </row>
    <row r="14493" spans="1:2" x14ac:dyDescent="0.4">
      <c r="A14493" s="4"/>
      <c r="B14493" s="4"/>
    </row>
    <row r="14494" spans="1:2" x14ac:dyDescent="0.4">
      <c r="A14494" s="4"/>
      <c r="B14494" s="4"/>
    </row>
    <row r="14495" spans="1:2" x14ac:dyDescent="0.4">
      <c r="A14495" s="4"/>
      <c r="B14495" s="4"/>
    </row>
    <row r="14496" spans="1:2" x14ac:dyDescent="0.4">
      <c r="A14496" s="4"/>
      <c r="B14496" s="4"/>
    </row>
    <row r="14497" spans="1:2" x14ac:dyDescent="0.4">
      <c r="A14497" s="4"/>
      <c r="B14497" s="4"/>
    </row>
    <row r="14498" spans="1:2" x14ac:dyDescent="0.4">
      <c r="A14498" s="4"/>
      <c r="B14498" s="4"/>
    </row>
    <row r="14499" spans="1:2" x14ac:dyDescent="0.4">
      <c r="A14499" s="4"/>
      <c r="B14499" s="4"/>
    </row>
    <row r="14500" spans="1:2" x14ac:dyDescent="0.4">
      <c r="A14500" s="4"/>
      <c r="B14500" s="4"/>
    </row>
    <row r="14501" spans="1:2" x14ac:dyDescent="0.4">
      <c r="A14501" s="4"/>
      <c r="B14501" s="4"/>
    </row>
    <row r="14502" spans="1:2" x14ac:dyDescent="0.4">
      <c r="A14502" s="4"/>
      <c r="B14502" s="4"/>
    </row>
    <row r="14503" spans="1:2" x14ac:dyDescent="0.4">
      <c r="A14503" s="4"/>
      <c r="B14503" s="4"/>
    </row>
    <row r="14504" spans="1:2" x14ac:dyDescent="0.4">
      <c r="A14504" s="4"/>
      <c r="B14504" s="4"/>
    </row>
    <row r="14505" spans="1:2" x14ac:dyDescent="0.4">
      <c r="A14505" s="4"/>
      <c r="B14505" s="4"/>
    </row>
    <row r="14506" spans="1:2" x14ac:dyDescent="0.4">
      <c r="A14506" s="4"/>
      <c r="B14506" s="4"/>
    </row>
    <row r="14507" spans="1:2" x14ac:dyDescent="0.4">
      <c r="A14507" s="4"/>
      <c r="B14507" s="4"/>
    </row>
    <row r="14508" spans="1:2" x14ac:dyDescent="0.4">
      <c r="A14508" s="4"/>
      <c r="B14508" s="4"/>
    </row>
    <row r="14509" spans="1:2" x14ac:dyDescent="0.4">
      <c r="A14509" s="4"/>
      <c r="B14509" s="4"/>
    </row>
    <row r="14510" spans="1:2" x14ac:dyDescent="0.4">
      <c r="A14510" s="4"/>
      <c r="B14510" s="4"/>
    </row>
    <row r="14511" spans="1:2" x14ac:dyDescent="0.4">
      <c r="A14511" s="4"/>
      <c r="B14511" s="4"/>
    </row>
    <row r="14512" spans="1:2" x14ac:dyDescent="0.4">
      <c r="A14512" s="4"/>
      <c r="B14512" s="4"/>
    </row>
    <row r="14513" spans="1:2" x14ac:dyDescent="0.4">
      <c r="A14513" s="4"/>
      <c r="B14513" s="4"/>
    </row>
    <row r="14514" spans="1:2" x14ac:dyDescent="0.4">
      <c r="A14514" s="4"/>
      <c r="B14514" s="4"/>
    </row>
    <row r="14515" spans="1:2" x14ac:dyDescent="0.4">
      <c r="A14515" s="4"/>
      <c r="B14515" s="4"/>
    </row>
    <row r="14516" spans="1:2" x14ac:dyDescent="0.4">
      <c r="A14516" s="4"/>
      <c r="B14516" s="4"/>
    </row>
    <row r="14517" spans="1:2" x14ac:dyDescent="0.4">
      <c r="A14517" s="4"/>
      <c r="B14517" s="4"/>
    </row>
    <row r="14518" spans="1:2" x14ac:dyDescent="0.4">
      <c r="A14518" s="4"/>
      <c r="B14518" s="4"/>
    </row>
    <row r="14519" spans="1:2" x14ac:dyDescent="0.4">
      <c r="A14519" s="4"/>
      <c r="B14519" s="4"/>
    </row>
    <row r="14520" spans="1:2" x14ac:dyDescent="0.4">
      <c r="A14520" s="4"/>
      <c r="B14520" s="4"/>
    </row>
    <row r="14521" spans="1:2" x14ac:dyDescent="0.4">
      <c r="A14521" s="4"/>
      <c r="B14521" s="4"/>
    </row>
    <row r="14522" spans="1:2" x14ac:dyDescent="0.4">
      <c r="A14522" s="4"/>
      <c r="B14522" s="4"/>
    </row>
    <row r="14523" spans="1:2" x14ac:dyDescent="0.4">
      <c r="A14523" s="4"/>
      <c r="B14523" s="4"/>
    </row>
    <row r="14524" spans="1:2" x14ac:dyDescent="0.4">
      <c r="A14524" s="4"/>
      <c r="B14524" s="4"/>
    </row>
    <row r="14525" spans="1:2" x14ac:dyDescent="0.4">
      <c r="A14525" s="4"/>
      <c r="B14525" s="4"/>
    </row>
    <row r="14526" spans="1:2" x14ac:dyDescent="0.4">
      <c r="A14526" s="4"/>
      <c r="B14526" s="4"/>
    </row>
    <row r="14527" spans="1:2" x14ac:dyDescent="0.4">
      <c r="A14527" s="4"/>
      <c r="B14527" s="4"/>
    </row>
    <row r="14528" spans="1:2" x14ac:dyDescent="0.4">
      <c r="A14528" s="4"/>
      <c r="B14528" s="4"/>
    </row>
    <row r="14529" spans="1:2" x14ac:dyDescent="0.4">
      <c r="A14529" s="4"/>
      <c r="B14529" s="4"/>
    </row>
    <row r="14530" spans="1:2" x14ac:dyDescent="0.4">
      <c r="A14530" s="4"/>
      <c r="B14530" s="4"/>
    </row>
    <row r="14531" spans="1:2" x14ac:dyDescent="0.4">
      <c r="A14531" s="4"/>
      <c r="B14531" s="4"/>
    </row>
    <row r="14532" spans="1:2" x14ac:dyDescent="0.4">
      <c r="A14532" s="4"/>
      <c r="B14532" s="4"/>
    </row>
    <row r="14533" spans="1:2" x14ac:dyDescent="0.4">
      <c r="A14533" s="4"/>
      <c r="B14533" s="4"/>
    </row>
    <row r="14534" spans="1:2" x14ac:dyDescent="0.4">
      <c r="A14534" s="4"/>
      <c r="B14534" s="4"/>
    </row>
    <row r="14535" spans="1:2" x14ac:dyDescent="0.4">
      <c r="A14535" s="4"/>
      <c r="B14535" s="4"/>
    </row>
    <row r="14536" spans="1:2" x14ac:dyDescent="0.4">
      <c r="A14536" s="4"/>
      <c r="B14536" s="4"/>
    </row>
    <row r="14537" spans="1:2" x14ac:dyDescent="0.4">
      <c r="A14537" s="4"/>
      <c r="B14537" s="4"/>
    </row>
    <row r="14538" spans="1:2" x14ac:dyDescent="0.4">
      <c r="A14538" s="4"/>
      <c r="B14538" s="4"/>
    </row>
    <row r="14539" spans="1:2" x14ac:dyDescent="0.4">
      <c r="A14539" s="4"/>
      <c r="B14539" s="4"/>
    </row>
    <row r="14540" spans="1:2" x14ac:dyDescent="0.4">
      <c r="A14540" s="4"/>
      <c r="B14540" s="4"/>
    </row>
    <row r="14541" spans="1:2" x14ac:dyDescent="0.4">
      <c r="A14541" s="4"/>
      <c r="B14541" s="4"/>
    </row>
    <row r="14542" spans="1:2" x14ac:dyDescent="0.4">
      <c r="A14542" s="4"/>
      <c r="B14542" s="4"/>
    </row>
    <row r="14543" spans="1:2" x14ac:dyDescent="0.4">
      <c r="A14543" s="4"/>
      <c r="B14543" s="4"/>
    </row>
    <row r="14544" spans="1:2" x14ac:dyDescent="0.4">
      <c r="A14544" s="4"/>
      <c r="B14544" s="4"/>
    </row>
    <row r="14545" spans="1:2" x14ac:dyDescent="0.4">
      <c r="A14545" s="4"/>
      <c r="B14545" s="4"/>
    </row>
    <row r="14546" spans="1:2" x14ac:dyDescent="0.4">
      <c r="A14546" s="4"/>
      <c r="B14546" s="4"/>
    </row>
    <row r="14547" spans="1:2" x14ac:dyDescent="0.4">
      <c r="A14547" s="4"/>
      <c r="B14547" s="4"/>
    </row>
    <row r="14548" spans="1:2" x14ac:dyDescent="0.4">
      <c r="A14548" s="4"/>
      <c r="B14548" s="4"/>
    </row>
    <row r="14549" spans="1:2" x14ac:dyDescent="0.4">
      <c r="A14549" s="4"/>
      <c r="B14549" s="4"/>
    </row>
    <row r="14550" spans="1:2" x14ac:dyDescent="0.4">
      <c r="A14550" s="4"/>
      <c r="B14550" s="4"/>
    </row>
    <row r="14551" spans="1:2" x14ac:dyDescent="0.4">
      <c r="A14551" s="4"/>
      <c r="B14551" s="4"/>
    </row>
    <row r="14552" spans="1:2" x14ac:dyDescent="0.4">
      <c r="A14552" s="4"/>
      <c r="B14552" s="4"/>
    </row>
    <row r="14553" spans="1:2" x14ac:dyDescent="0.4">
      <c r="A14553" s="4"/>
      <c r="B14553" s="4"/>
    </row>
    <row r="14554" spans="1:2" x14ac:dyDescent="0.4">
      <c r="A14554" s="4"/>
      <c r="B14554" s="4"/>
    </row>
    <row r="14555" spans="1:2" x14ac:dyDescent="0.4">
      <c r="A14555" s="4"/>
      <c r="B14555" s="4"/>
    </row>
    <row r="14556" spans="1:2" x14ac:dyDescent="0.4">
      <c r="A14556" s="4"/>
      <c r="B14556" s="4"/>
    </row>
    <row r="14557" spans="1:2" x14ac:dyDescent="0.4">
      <c r="A14557" s="4"/>
      <c r="B14557" s="4"/>
    </row>
    <row r="14558" spans="1:2" x14ac:dyDescent="0.4">
      <c r="A14558" s="4"/>
      <c r="B14558" s="4"/>
    </row>
    <row r="14559" spans="1:2" x14ac:dyDescent="0.4">
      <c r="A14559" s="4"/>
      <c r="B14559" s="4"/>
    </row>
    <row r="14560" spans="1:2" x14ac:dyDescent="0.4">
      <c r="A14560" s="4"/>
      <c r="B14560" s="4"/>
    </row>
    <row r="14561" spans="1:2" x14ac:dyDescent="0.4">
      <c r="A14561" s="4"/>
      <c r="B14561" s="4"/>
    </row>
    <row r="14562" spans="1:2" x14ac:dyDescent="0.4">
      <c r="A14562" s="4"/>
      <c r="B14562" s="4"/>
    </row>
    <row r="14563" spans="1:2" x14ac:dyDescent="0.4">
      <c r="A14563" s="4"/>
      <c r="B14563" s="4"/>
    </row>
    <row r="14564" spans="1:2" x14ac:dyDescent="0.4">
      <c r="A14564" s="4"/>
      <c r="B14564" s="4"/>
    </row>
    <row r="14565" spans="1:2" x14ac:dyDescent="0.4">
      <c r="A14565" s="4"/>
      <c r="B14565" s="4"/>
    </row>
    <row r="14566" spans="1:2" x14ac:dyDescent="0.4">
      <c r="A14566" s="4"/>
      <c r="B14566" s="4"/>
    </row>
    <row r="14567" spans="1:2" x14ac:dyDescent="0.4">
      <c r="A14567" s="4"/>
      <c r="B14567" s="4"/>
    </row>
    <row r="14568" spans="1:2" x14ac:dyDescent="0.4">
      <c r="A14568" s="4"/>
      <c r="B14568" s="4"/>
    </row>
    <row r="14569" spans="1:2" x14ac:dyDescent="0.4">
      <c r="A14569" s="4"/>
      <c r="B14569" s="4"/>
    </row>
    <row r="14570" spans="1:2" x14ac:dyDescent="0.4">
      <c r="A14570" s="4"/>
      <c r="B14570" s="4"/>
    </row>
    <row r="14571" spans="1:2" x14ac:dyDescent="0.4">
      <c r="A14571" s="4"/>
      <c r="B14571" s="4"/>
    </row>
    <row r="14572" spans="1:2" x14ac:dyDescent="0.4">
      <c r="A14572" s="4"/>
      <c r="B14572" s="4"/>
    </row>
    <row r="14573" spans="1:2" x14ac:dyDescent="0.4">
      <c r="A14573" s="4"/>
      <c r="B14573" s="4"/>
    </row>
    <row r="14574" spans="1:2" x14ac:dyDescent="0.4">
      <c r="A14574" s="4"/>
      <c r="B14574" s="4"/>
    </row>
    <row r="14575" spans="1:2" x14ac:dyDescent="0.4">
      <c r="A14575" s="4"/>
      <c r="B14575" s="4"/>
    </row>
    <row r="14576" spans="1:2" x14ac:dyDescent="0.4">
      <c r="A14576" s="4"/>
      <c r="B14576" s="4"/>
    </row>
    <row r="14577" spans="1:2" x14ac:dyDescent="0.4">
      <c r="A14577" s="4"/>
      <c r="B14577" s="4"/>
    </row>
    <row r="14578" spans="1:2" x14ac:dyDescent="0.4">
      <c r="A14578" s="4"/>
      <c r="B14578" s="4"/>
    </row>
    <row r="14579" spans="1:2" x14ac:dyDescent="0.4">
      <c r="A14579" s="4"/>
      <c r="B14579" s="4"/>
    </row>
    <row r="14580" spans="1:2" x14ac:dyDescent="0.4">
      <c r="A14580" s="4"/>
      <c r="B14580" s="4"/>
    </row>
    <row r="14581" spans="1:2" x14ac:dyDescent="0.4">
      <c r="A14581" s="4"/>
      <c r="B14581" s="4"/>
    </row>
    <row r="14582" spans="1:2" x14ac:dyDescent="0.4">
      <c r="A14582" s="4"/>
      <c r="B14582" s="4"/>
    </row>
    <row r="14583" spans="1:2" x14ac:dyDescent="0.4">
      <c r="A14583" s="4"/>
      <c r="B14583" s="4"/>
    </row>
    <row r="14584" spans="1:2" x14ac:dyDescent="0.4">
      <c r="A14584" s="4"/>
      <c r="B14584" s="4"/>
    </row>
    <row r="14585" spans="1:2" x14ac:dyDescent="0.4">
      <c r="A14585" s="4"/>
      <c r="B14585" s="4"/>
    </row>
    <row r="14586" spans="1:2" x14ac:dyDescent="0.4">
      <c r="A14586" s="4"/>
      <c r="B14586" s="4"/>
    </row>
    <row r="14587" spans="1:2" x14ac:dyDescent="0.4">
      <c r="A14587" s="4"/>
      <c r="B14587" s="4"/>
    </row>
    <row r="14588" spans="1:2" x14ac:dyDescent="0.4">
      <c r="A14588" s="4"/>
      <c r="B14588" s="4"/>
    </row>
    <row r="14589" spans="1:2" x14ac:dyDescent="0.4">
      <c r="A14589" s="4"/>
      <c r="B14589" s="4"/>
    </row>
    <row r="14590" spans="1:2" x14ac:dyDescent="0.4">
      <c r="A14590" s="4"/>
      <c r="B14590" s="4"/>
    </row>
    <row r="14591" spans="1:2" x14ac:dyDescent="0.4">
      <c r="A14591" s="4"/>
      <c r="B14591" s="4"/>
    </row>
    <row r="14592" spans="1:2" x14ac:dyDescent="0.4">
      <c r="A14592" s="4"/>
      <c r="B14592" s="4"/>
    </row>
    <row r="14593" spans="1:2" x14ac:dyDescent="0.4">
      <c r="A14593" s="4"/>
      <c r="B14593" s="4"/>
    </row>
    <row r="14594" spans="1:2" x14ac:dyDescent="0.4">
      <c r="A14594" s="4"/>
      <c r="B14594" s="4"/>
    </row>
    <row r="14595" spans="1:2" x14ac:dyDescent="0.4">
      <c r="A14595" s="4"/>
      <c r="B14595" s="4"/>
    </row>
    <row r="14596" spans="1:2" x14ac:dyDescent="0.4">
      <c r="A14596" s="4"/>
      <c r="B14596" s="4"/>
    </row>
    <row r="14597" spans="1:2" x14ac:dyDescent="0.4">
      <c r="A14597" s="4"/>
      <c r="B14597" s="4"/>
    </row>
    <row r="14598" spans="1:2" x14ac:dyDescent="0.4">
      <c r="A14598" s="4"/>
      <c r="B14598" s="4"/>
    </row>
    <row r="14599" spans="1:2" x14ac:dyDescent="0.4">
      <c r="A14599" s="4"/>
      <c r="B14599" s="4"/>
    </row>
    <row r="14600" spans="1:2" x14ac:dyDescent="0.4">
      <c r="A14600" s="4"/>
      <c r="B14600" s="4"/>
    </row>
    <row r="14601" spans="1:2" x14ac:dyDescent="0.4">
      <c r="A14601" s="4"/>
      <c r="B14601" s="4"/>
    </row>
    <row r="14602" spans="1:2" x14ac:dyDescent="0.4">
      <c r="A14602" s="4"/>
      <c r="B14602" s="4"/>
    </row>
    <row r="14603" spans="1:2" x14ac:dyDescent="0.4">
      <c r="A14603" s="4"/>
      <c r="B14603" s="4"/>
    </row>
    <row r="14604" spans="1:2" x14ac:dyDescent="0.4">
      <c r="A14604" s="4"/>
      <c r="B14604" s="4"/>
    </row>
    <row r="14605" spans="1:2" x14ac:dyDescent="0.4">
      <c r="A14605" s="4"/>
      <c r="B14605" s="4"/>
    </row>
    <row r="14606" spans="1:2" x14ac:dyDescent="0.4">
      <c r="A14606" s="4"/>
      <c r="B14606" s="4"/>
    </row>
    <row r="14607" spans="1:2" x14ac:dyDescent="0.4">
      <c r="A14607" s="4"/>
      <c r="B14607" s="4"/>
    </row>
    <row r="14608" spans="1:2" x14ac:dyDescent="0.4">
      <c r="A14608" s="4"/>
      <c r="B14608" s="4"/>
    </row>
    <row r="14609" spans="1:2" x14ac:dyDescent="0.4">
      <c r="A14609" s="4"/>
      <c r="B14609" s="4"/>
    </row>
    <row r="14610" spans="1:2" x14ac:dyDescent="0.4">
      <c r="A14610" s="4"/>
      <c r="B14610" s="4"/>
    </row>
    <row r="14611" spans="1:2" x14ac:dyDescent="0.4">
      <c r="A14611" s="4"/>
      <c r="B14611" s="4"/>
    </row>
    <row r="14612" spans="1:2" x14ac:dyDescent="0.4">
      <c r="A14612" s="4"/>
      <c r="B14612" s="4"/>
    </row>
    <row r="14613" spans="1:2" x14ac:dyDescent="0.4">
      <c r="A14613" s="4"/>
      <c r="B14613" s="4"/>
    </row>
    <row r="14614" spans="1:2" x14ac:dyDescent="0.4">
      <c r="A14614" s="4"/>
      <c r="B14614" s="4"/>
    </row>
    <row r="14615" spans="1:2" x14ac:dyDescent="0.4">
      <c r="A14615" s="4"/>
      <c r="B14615" s="4"/>
    </row>
    <row r="14616" spans="1:2" x14ac:dyDescent="0.4">
      <c r="A14616" s="4"/>
      <c r="B14616" s="4"/>
    </row>
    <row r="14617" spans="1:2" x14ac:dyDescent="0.4">
      <c r="A14617" s="4"/>
      <c r="B14617" s="4"/>
    </row>
    <row r="14618" spans="1:2" x14ac:dyDescent="0.4">
      <c r="A14618" s="4"/>
      <c r="B14618" s="4"/>
    </row>
    <row r="14619" spans="1:2" x14ac:dyDescent="0.4">
      <c r="A14619" s="4"/>
      <c r="B14619" s="4"/>
    </row>
    <row r="14620" spans="1:2" x14ac:dyDescent="0.4">
      <c r="A14620" s="4"/>
      <c r="B14620" s="4"/>
    </row>
    <row r="14621" spans="1:2" x14ac:dyDescent="0.4">
      <c r="A14621" s="4"/>
      <c r="B14621" s="4"/>
    </row>
    <row r="14622" spans="1:2" x14ac:dyDescent="0.4">
      <c r="A14622" s="4"/>
      <c r="B14622" s="4"/>
    </row>
    <row r="14623" spans="1:2" x14ac:dyDescent="0.4">
      <c r="A14623" s="4"/>
      <c r="B14623" s="4"/>
    </row>
    <row r="14624" spans="1:2" x14ac:dyDescent="0.4">
      <c r="A14624" s="4"/>
      <c r="B14624" s="4"/>
    </row>
    <row r="14625" spans="1:2" x14ac:dyDescent="0.4">
      <c r="A14625" s="4"/>
      <c r="B14625" s="4"/>
    </row>
    <row r="14626" spans="1:2" x14ac:dyDescent="0.4">
      <c r="A14626" s="4"/>
      <c r="B14626" s="4"/>
    </row>
    <row r="14627" spans="1:2" x14ac:dyDescent="0.4">
      <c r="A14627" s="4"/>
      <c r="B14627" s="4"/>
    </row>
    <row r="14628" spans="1:2" x14ac:dyDescent="0.4">
      <c r="A14628" s="4"/>
      <c r="B14628" s="4"/>
    </row>
    <row r="14629" spans="1:2" x14ac:dyDescent="0.4">
      <c r="A14629" s="4"/>
      <c r="B14629" s="4"/>
    </row>
    <row r="14630" spans="1:2" x14ac:dyDescent="0.4">
      <c r="A14630" s="4"/>
      <c r="B14630" s="4"/>
    </row>
    <row r="14631" spans="1:2" x14ac:dyDescent="0.4">
      <c r="A14631" s="4"/>
      <c r="B14631" s="4"/>
    </row>
    <row r="14632" spans="1:2" x14ac:dyDescent="0.4">
      <c r="A14632" s="4"/>
      <c r="B14632" s="4"/>
    </row>
    <row r="14633" spans="1:2" x14ac:dyDescent="0.4">
      <c r="A14633" s="4"/>
      <c r="B14633" s="4"/>
    </row>
    <row r="14634" spans="1:2" x14ac:dyDescent="0.4">
      <c r="A14634" s="4"/>
      <c r="B14634" s="4"/>
    </row>
    <row r="14635" spans="1:2" x14ac:dyDescent="0.4">
      <c r="A14635" s="4"/>
      <c r="B14635" s="4"/>
    </row>
    <row r="14636" spans="1:2" x14ac:dyDescent="0.4">
      <c r="A14636" s="4"/>
      <c r="B14636" s="4"/>
    </row>
    <row r="14637" spans="1:2" x14ac:dyDescent="0.4">
      <c r="A14637" s="4"/>
      <c r="B14637" s="4"/>
    </row>
    <row r="14638" spans="1:2" x14ac:dyDescent="0.4">
      <c r="A14638" s="4"/>
      <c r="B14638" s="4"/>
    </row>
    <row r="14639" spans="1:2" x14ac:dyDescent="0.4">
      <c r="A14639" s="4"/>
      <c r="B14639" s="4"/>
    </row>
    <row r="14640" spans="1:2" x14ac:dyDescent="0.4">
      <c r="A14640" s="4"/>
      <c r="B14640" s="4"/>
    </row>
    <row r="14641" spans="1:2" x14ac:dyDescent="0.4">
      <c r="A14641" s="4"/>
      <c r="B14641" s="4"/>
    </row>
    <row r="14642" spans="1:2" x14ac:dyDescent="0.4">
      <c r="A14642" s="4"/>
      <c r="B14642" s="4"/>
    </row>
    <row r="14643" spans="1:2" x14ac:dyDescent="0.4">
      <c r="A14643" s="4"/>
      <c r="B14643" s="4"/>
    </row>
    <row r="14644" spans="1:2" x14ac:dyDescent="0.4">
      <c r="A14644" s="4"/>
      <c r="B14644" s="4"/>
    </row>
    <row r="14645" spans="1:2" x14ac:dyDescent="0.4">
      <c r="A14645" s="4"/>
      <c r="B14645" s="4"/>
    </row>
    <row r="14646" spans="1:2" x14ac:dyDescent="0.4">
      <c r="A14646" s="4"/>
      <c r="B14646" s="4"/>
    </row>
    <row r="14647" spans="1:2" x14ac:dyDescent="0.4">
      <c r="A14647" s="4"/>
      <c r="B14647" s="4"/>
    </row>
    <row r="14648" spans="1:2" x14ac:dyDescent="0.4">
      <c r="A14648" s="4"/>
      <c r="B14648" s="4"/>
    </row>
    <row r="14649" spans="1:2" x14ac:dyDescent="0.4">
      <c r="A14649" s="4"/>
      <c r="B14649" s="4"/>
    </row>
    <row r="14650" spans="1:2" x14ac:dyDescent="0.4">
      <c r="A14650" s="4"/>
      <c r="B14650" s="4"/>
    </row>
    <row r="14651" spans="1:2" x14ac:dyDescent="0.4">
      <c r="A14651" s="4"/>
      <c r="B14651" s="4"/>
    </row>
    <row r="14652" spans="1:2" x14ac:dyDescent="0.4">
      <c r="A14652" s="4"/>
      <c r="B14652" s="4"/>
    </row>
    <row r="14653" spans="1:2" x14ac:dyDescent="0.4">
      <c r="A14653" s="4"/>
      <c r="B14653" s="4"/>
    </row>
    <row r="14654" spans="1:2" x14ac:dyDescent="0.4">
      <c r="A14654" s="4"/>
      <c r="B14654" s="4"/>
    </row>
    <row r="14655" spans="1:2" x14ac:dyDescent="0.4">
      <c r="A14655" s="4"/>
      <c r="B14655" s="4"/>
    </row>
    <row r="14656" spans="1:2" x14ac:dyDescent="0.4">
      <c r="A14656" s="4"/>
      <c r="B14656" s="4"/>
    </row>
    <row r="14657" spans="1:2" x14ac:dyDescent="0.4">
      <c r="A14657" s="4"/>
      <c r="B14657" s="4"/>
    </row>
    <row r="14658" spans="1:2" x14ac:dyDescent="0.4">
      <c r="A14658" s="4"/>
      <c r="B14658" s="4"/>
    </row>
    <row r="14659" spans="1:2" x14ac:dyDescent="0.4">
      <c r="A14659" s="4"/>
      <c r="B14659" s="4"/>
    </row>
    <row r="14660" spans="1:2" x14ac:dyDescent="0.4">
      <c r="A14660" s="4"/>
      <c r="B14660" s="4"/>
    </row>
    <row r="14661" spans="1:2" x14ac:dyDescent="0.4">
      <c r="A14661" s="4"/>
      <c r="B14661" s="4"/>
    </row>
    <row r="14662" spans="1:2" x14ac:dyDescent="0.4">
      <c r="A14662" s="4"/>
      <c r="B14662" s="4"/>
    </row>
    <row r="14663" spans="1:2" x14ac:dyDescent="0.4">
      <c r="A14663" s="4"/>
      <c r="B14663" s="4"/>
    </row>
    <row r="14664" spans="1:2" x14ac:dyDescent="0.4">
      <c r="A14664" s="4"/>
      <c r="B14664" s="4"/>
    </row>
    <row r="14665" spans="1:2" x14ac:dyDescent="0.4">
      <c r="A14665" s="4"/>
      <c r="B14665" s="4"/>
    </row>
    <row r="14666" spans="1:2" x14ac:dyDescent="0.4">
      <c r="A14666" s="4"/>
      <c r="B14666" s="4"/>
    </row>
    <row r="14667" spans="1:2" x14ac:dyDescent="0.4">
      <c r="A14667" s="4"/>
      <c r="B14667" s="4"/>
    </row>
    <row r="14668" spans="1:2" x14ac:dyDescent="0.4">
      <c r="A14668" s="4"/>
      <c r="B14668" s="4"/>
    </row>
    <row r="14669" spans="1:2" x14ac:dyDescent="0.4">
      <c r="A14669" s="4"/>
      <c r="B14669" s="4"/>
    </row>
    <row r="14670" spans="1:2" x14ac:dyDescent="0.4">
      <c r="A14670" s="4"/>
      <c r="B14670" s="4"/>
    </row>
    <row r="14671" spans="1:2" x14ac:dyDescent="0.4">
      <c r="A14671" s="4"/>
      <c r="B14671" s="4"/>
    </row>
    <row r="14672" spans="1:2" x14ac:dyDescent="0.4">
      <c r="A14672" s="4"/>
      <c r="B14672" s="4"/>
    </row>
    <row r="14673" spans="1:2" x14ac:dyDescent="0.4">
      <c r="A14673" s="4"/>
      <c r="B14673" s="4"/>
    </row>
    <row r="14674" spans="1:2" x14ac:dyDescent="0.4">
      <c r="A14674" s="4"/>
      <c r="B14674" s="4"/>
    </row>
    <row r="14675" spans="1:2" x14ac:dyDescent="0.4">
      <c r="A14675" s="4"/>
      <c r="B14675" s="4"/>
    </row>
    <row r="14676" spans="1:2" x14ac:dyDescent="0.4">
      <c r="A14676" s="4"/>
      <c r="B14676" s="4"/>
    </row>
    <row r="14677" spans="1:2" x14ac:dyDescent="0.4">
      <c r="A14677" s="4"/>
      <c r="B14677" s="4"/>
    </row>
    <row r="14678" spans="1:2" x14ac:dyDescent="0.4">
      <c r="A14678" s="4"/>
      <c r="B14678" s="4"/>
    </row>
    <row r="14679" spans="1:2" x14ac:dyDescent="0.4">
      <c r="A14679" s="4"/>
      <c r="B14679" s="4"/>
    </row>
    <row r="14680" spans="1:2" x14ac:dyDescent="0.4">
      <c r="A14680" s="4"/>
      <c r="B14680" s="4"/>
    </row>
    <row r="14681" spans="1:2" x14ac:dyDescent="0.4">
      <c r="A14681" s="4"/>
      <c r="B14681" s="4"/>
    </row>
    <row r="14682" spans="1:2" x14ac:dyDescent="0.4">
      <c r="A14682" s="4"/>
      <c r="B14682" s="4"/>
    </row>
    <row r="14683" spans="1:2" x14ac:dyDescent="0.4">
      <c r="A14683" s="4"/>
      <c r="B14683" s="4"/>
    </row>
    <row r="14684" spans="1:2" x14ac:dyDescent="0.4">
      <c r="A14684" s="4"/>
      <c r="B14684" s="4"/>
    </row>
    <row r="14685" spans="1:2" x14ac:dyDescent="0.4">
      <c r="A14685" s="4"/>
      <c r="B14685" s="4"/>
    </row>
    <row r="14686" spans="1:2" x14ac:dyDescent="0.4">
      <c r="A14686" s="4"/>
      <c r="B14686" s="4"/>
    </row>
    <row r="14687" spans="1:2" x14ac:dyDescent="0.4">
      <c r="A14687" s="4"/>
      <c r="B14687" s="4"/>
    </row>
    <row r="14688" spans="1:2" x14ac:dyDescent="0.4">
      <c r="A14688" s="4"/>
      <c r="B14688" s="4"/>
    </row>
    <row r="14689" spans="1:2" x14ac:dyDescent="0.4">
      <c r="A14689" s="4"/>
      <c r="B14689" s="4"/>
    </row>
    <row r="14690" spans="1:2" x14ac:dyDescent="0.4">
      <c r="A14690" s="4"/>
      <c r="B14690" s="4"/>
    </row>
    <row r="14691" spans="1:2" x14ac:dyDescent="0.4">
      <c r="A14691" s="4"/>
      <c r="B14691" s="4"/>
    </row>
    <row r="14692" spans="1:2" x14ac:dyDescent="0.4">
      <c r="A14692" s="4"/>
      <c r="B14692" s="4"/>
    </row>
    <row r="14693" spans="1:2" x14ac:dyDescent="0.4">
      <c r="A14693" s="4"/>
      <c r="B14693" s="4"/>
    </row>
    <row r="14694" spans="1:2" x14ac:dyDescent="0.4">
      <c r="A14694" s="4"/>
      <c r="B14694" s="4"/>
    </row>
    <row r="14695" spans="1:2" x14ac:dyDescent="0.4">
      <c r="A14695" s="4"/>
      <c r="B14695" s="4"/>
    </row>
    <row r="14696" spans="1:2" x14ac:dyDescent="0.4">
      <c r="A14696" s="4"/>
      <c r="B14696" s="4"/>
    </row>
    <row r="14697" spans="1:2" x14ac:dyDescent="0.4">
      <c r="A14697" s="4"/>
      <c r="B14697" s="4"/>
    </row>
    <row r="14698" spans="1:2" x14ac:dyDescent="0.4">
      <c r="A14698" s="4"/>
      <c r="B14698" s="4"/>
    </row>
    <row r="14699" spans="1:2" x14ac:dyDescent="0.4">
      <c r="A14699" s="4"/>
      <c r="B14699" s="4"/>
    </row>
    <row r="14700" spans="1:2" x14ac:dyDescent="0.4">
      <c r="A14700" s="4"/>
      <c r="B14700" s="4"/>
    </row>
    <row r="14701" spans="1:2" x14ac:dyDescent="0.4">
      <c r="A14701" s="4"/>
      <c r="B14701" s="4"/>
    </row>
    <row r="14702" spans="1:2" x14ac:dyDescent="0.4">
      <c r="A14702" s="4"/>
      <c r="B14702" s="4"/>
    </row>
    <row r="14703" spans="1:2" x14ac:dyDescent="0.4">
      <c r="A14703" s="4"/>
      <c r="B14703" s="4"/>
    </row>
    <row r="14704" spans="1:2" x14ac:dyDescent="0.4">
      <c r="A14704" s="4"/>
      <c r="B14704" s="4"/>
    </row>
    <row r="14705" spans="1:2" x14ac:dyDescent="0.4">
      <c r="A14705" s="4"/>
      <c r="B14705" s="4"/>
    </row>
    <row r="14706" spans="1:2" x14ac:dyDescent="0.4">
      <c r="A14706" s="4"/>
      <c r="B14706" s="4"/>
    </row>
    <row r="14707" spans="1:2" x14ac:dyDescent="0.4">
      <c r="A14707" s="4"/>
      <c r="B14707" s="4"/>
    </row>
    <row r="14708" spans="1:2" x14ac:dyDescent="0.4">
      <c r="A14708" s="4"/>
      <c r="B14708" s="4"/>
    </row>
    <row r="14709" spans="1:2" x14ac:dyDescent="0.4">
      <c r="A14709" s="4"/>
      <c r="B14709" s="4"/>
    </row>
    <row r="14710" spans="1:2" x14ac:dyDescent="0.4">
      <c r="A14710" s="4"/>
      <c r="B14710" s="4"/>
    </row>
    <row r="14711" spans="1:2" x14ac:dyDescent="0.4">
      <c r="A14711" s="4"/>
      <c r="B14711" s="4"/>
    </row>
    <row r="14712" spans="1:2" x14ac:dyDescent="0.4">
      <c r="A14712" s="4"/>
      <c r="B14712" s="4"/>
    </row>
    <row r="14713" spans="1:2" x14ac:dyDescent="0.4">
      <c r="A14713" s="4"/>
      <c r="B14713" s="4"/>
    </row>
    <row r="14714" spans="1:2" x14ac:dyDescent="0.4">
      <c r="A14714" s="4"/>
      <c r="B14714" s="4"/>
    </row>
    <row r="14715" spans="1:2" x14ac:dyDescent="0.4">
      <c r="A14715" s="4"/>
      <c r="B14715" s="4"/>
    </row>
    <row r="14716" spans="1:2" x14ac:dyDescent="0.4">
      <c r="A14716" s="4"/>
      <c r="B14716" s="4"/>
    </row>
    <row r="14717" spans="1:2" x14ac:dyDescent="0.4">
      <c r="A14717" s="4"/>
      <c r="B14717" s="4"/>
    </row>
    <row r="14718" spans="1:2" x14ac:dyDescent="0.4">
      <c r="A14718" s="4"/>
      <c r="B14718" s="4"/>
    </row>
    <row r="14719" spans="1:2" x14ac:dyDescent="0.4">
      <c r="A14719" s="4"/>
      <c r="B14719" s="4"/>
    </row>
    <row r="14720" spans="1:2" x14ac:dyDescent="0.4">
      <c r="A14720" s="4"/>
      <c r="B14720" s="4"/>
    </row>
    <row r="14721" spans="1:2" x14ac:dyDescent="0.4">
      <c r="A14721" s="4"/>
      <c r="B14721" s="4"/>
    </row>
    <row r="14722" spans="1:2" x14ac:dyDescent="0.4">
      <c r="A14722" s="4"/>
      <c r="B14722" s="4"/>
    </row>
    <row r="14723" spans="1:2" x14ac:dyDescent="0.4">
      <c r="A14723" s="4"/>
      <c r="B14723" s="4"/>
    </row>
    <row r="14724" spans="1:2" x14ac:dyDescent="0.4">
      <c r="A14724" s="4"/>
      <c r="B14724" s="4"/>
    </row>
    <row r="14725" spans="1:2" x14ac:dyDescent="0.4">
      <c r="A14725" s="4"/>
      <c r="B14725" s="4"/>
    </row>
    <row r="14726" spans="1:2" x14ac:dyDescent="0.4">
      <c r="A14726" s="4"/>
      <c r="B14726" s="4"/>
    </row>
    <row r="14727" spans="1:2" x14ac:dyDescent="0.4">
      <c r="A14727" s="4"/>
      <c r="B14727" s="4"/>
    </row>
    <row r="14728" spans="1:2" x14ac:dyDescent="0.4">
      <c r="A14728" s="4"/>
      <c r="B14728" s="4"/>
    </row>
    <row r="14729" spans="1:2" x14ac:dyDescent="0.4">
      <c r="A14729" s="4"/>
      <c r="B14729" s="4"/>
    </row>
    <row r="14730" spans="1:2" x14ac:dyDescent="0.4">
      <c r="A14730" s="4"/>
      <c r="B14730" s="4"/>
    </row>
    <row r="14731" spans="1:2" x14ac:dyDescent="0.4">
      <c r="A14731" s="4"/>
      <c r="B14731" s="4"/>
    </row>
    <row r="14732" spans="1:2" x14ac:dyDescent="0.4">
      <c r="A14732" s="4"/>
      <c r="B14732" s="4"/>
    </row>
    <row r="14733" spans="1:2" x14ac:dyDescent="0.4">
      <c r="A14733" s="4"/>
      <c r="B14733" s="4"/>
    </row>
    <row r="14734" spans="1:2" x14ac:dyDescent="0.4">
      <c r="A14734" s="4"/>
      <c r="B14734" s="4"/>
    </row>
    <row r="14735" spans="1:2" x14ac:dyDescent="0.4">
      <c r="A14735" s="4"/>
      <c r="B14735" s="4"/>
    </row>
    <row r="14736" spans="1:2" x14ac:dyDescent="0.4">
      <c r="A14736" s="4"/>
      <c r="B14736" s="4"/>
    </row>
    <row r="14737" spans="1:2" x14ac:dyDescent="0.4">
      <c r="A14737" s="4"/>
      <c r="B14737" s="4"/>
    </row>
    <row r="14738" spans="1:2" x14ac:dyDescent="0.4">
      <c r="A14738" s="4"/>
      <c r="B14738" s="4"/>
    </row>
    <row r="14739" spans="1:2" x14ac:dyDescent="0.4">
      <c r="A14739" s="4"/>
      <c r="B14739" s="4"/>
    </row>
    <row r="14740" spans="1:2" x14ac:dyDescent="0.4">
      <c r="A14740" s="4"/>
      <c r="B14740" s="4"/>
    </row>
    <row r="14741" spans="1:2" x14ac:dyDescent="0.4">
      <c r="A14741" s="4"/>
      <c r="B14741" s="4"/>
    </row>
    <row r="14742" spans="1:2" x14ac:dyDescent="0.4">
      <c r="A14742" s="4"/>
      <c r="B14742" s="4"/>
    </row>
    <row r="14743" spans="1:2" x14ac:dyDescent="0.4">
      <c r="A14743" s="4"/>
      <c r="B14743" s="4"/>
    </row>
    <row r="14744" spans="1:2" x14ac:dyDescent="0.4">
      <c r="A14744" s="4"/>
      <c r="B14744" s="4"/>
    </row>
    <row r="14745" spans="1:2" x14ac:dyDescent="0.4">
      <c r="A14745" s="4"/>
      <c r="B14745" s="4"/>
    </row>
    <row r="14746" spans="1:2" x14ac:dyDescent="0.4">
      <c r="A14746" s="4"/>
      <c r="B14746" s="4"/>
    </row>
    <row r="14747" spans="1:2" x14ac:dyDescent="0.4">
      <c r="A14747" s="4"/>
      <c r="B14747" s="4"/>
    </row>
    <row r="14748" spans="1:2" x14ac:dyDescent="0.4">
      <c r="A14748" s="4"/>
      <c r="B14748" s="4"/>
    </row>
    <row r="14749" spans="1:2" x14ac:dyDescent="0.4">
      <c r="A14749" s="4"/>
      <c r="B14749" s="4"/>
    </row>
    <row r="14750" spans="1:2" x14ac:dyDescent="0.4">
      <c r="A14750" s="4"/>
      <c r="B14750" s="4"/>
    </row>
    <row r="14751" spans="1:2" x14ac:dyDescent="0.4">
      <c r="A14751" s="4"/>
      <c r="B14751" s="4"/>
    </row>
    <row r="14752" spans="1:2" x14ac:dyDescent="0.4">
      <c r="A14752" s="4"/>
      <c r="B14752" s="4"/>
    </row>
    <row r="14753" spans="1:2" x14ac:dyDescent="0.4">
      <c r="A14753" s="4"/>
      <c r="B14753" s="4"/>
    </row>
    <row r="14754" spans="1:2" x14ac:dyDescent="0.4">
      <c r="A14754" s="4"/>
      <c r="B14754" s="4"/>
    </row>
    <row r="14755" spans="1:2" x14ac:dyDescent="0.4">
      <c r="A14755" s="4"/>
      <c r="B14755" s="4"/>
    </row>
    <row r="14756" spans="1:2" x14ac:dyDescent="0.4">
      <c r="A14756" s="4"/>
      <c r="B14756" s="4"/>
    </row>
    <row r="14757" spans="1:2" x14ac:dyDescent="0.4">
      <c r="A14757" s="4"/>
      <c r="B14757" s="4"/>
    </row>
    <row r="14758" spans="1:2" x14ac:dyDescent="0.4">
      <c r="A14758" s="4"/>
      <c r="B14758" s="4"/>
    </row>
    <row r="14759" spans="1:2" x14ac:dyDescent="0.4">
      <c r="A14759" s="4"/>
      <c r="B14759" s="4"/>
    </row>
    <row r="14760" spans="1:2" x14ac:dyDescent="0.4">
      <c r="A14760" s="4"/>
      <c r="B14760" s="4"/>
    </row>
    <row r="14761" spans="1:2" x14ac:dyDescent="0.4">
      <c r="A14761" s="4"/>
      <c r="B14761" s="4"/>
    </row>
    <row r="14762" spans="1:2" x14ac:dyDescent="0.4">
      <c r="A14762" s="4"/>
      <c r="B14762" s="4"/>
    </row>
    <row r="14763" spans="1:2" x14ac:dyDescent="0.4">
      <c r="A14763" s="4"/>
      <c r="B14763" s="4"/>
    </row>
    <row r="14764" spans="1:2" x14ac:dyDescent="0.4">
      <c r="A14764" s="4"/>
      <c r="B14764" s="4"/>
    </row>
    <row r="14765" spans="1:2" x14ac:dyDescent="0.4">
      <c r="A14765" s="4"/>
      <c r="B14765" s="4"/>
    </row>
    <row r="14766" spans="1:2" x14ac:dyDescent="0.4">
      <c r="A14766" s="4"/>
      <c r="B14766" s="4"/>
    </row>
    <row r="14767" spans="1:2" x14ac:dyDescent="0.4">
      <c r="A14767" s="4"/>
      <c r="B14767" s="4"/>
    </row>
    <row r="14768" spans="1:2" x14ac:dyDescent="0.4">
      <c r="A14768" s="4"/>
      <c r="B14768" s="4"/>
    </row>
    <row r="14769" spans="1:2" x14ac:dyDescent="0.4">
      <c r="A14769" s="4"/>
      <c r="B14769" s="4"/>
    </row>
    <row r="14770" spans="1:2" x14ac:dyDescent="0.4">
      <c r="A14770" s="4"/>
      <c r="B14770" s="4"/>
    </row>
    <row r="14771" spans="1:2" x14ac:dyDescent="0.4">
      <c r="A14771" s="4"/>
      <c r="B14771" s="4"/>
    </row>
    <row r="14772" spans="1:2" x14ac:dyDescent="0.4">
      <c r="A14772" s="4"/>
      <c r="B14772" s="4"/>
    </row>
    <row r="14773" spans="1:2" x14ac:dyDescent="0.4">
      <c r="A14773" s="4"/>
      <c r="B14773" s="4"/>
    </row>
    <row r="14774" spans="1:2" x14ac:dyDescent="0.4">
      <c r="A14774" s="4"/>
      <c r="B14774" s="4"/>
    </row>
    <row r="14775" spans="1:2" x14ac:dyDescent="0.4">
      <c r="A14775" s="4"/>
      <c r="B14775" s="4"/>
    </row>
    <row r="14776" spans="1:2" x14ac:dyDescent="0.4">
      <c r="A14776" s="4"/>
      <c r="B14776" s="4"/>
    </row>
    <row r="14777" spans="1:2" x14ac:dyDescent="0.4">
      <c r="A14777" s="4"/>
      <c r="B14777" s="4"/>
    </row>
    <row r="14778" spans="1:2" x14ac:dyDescent="0.4">
      <c r="A14778" s="4"/>
      <c r="B14778" s="4"/>
    </row>
    <row r="14779" spans="1:2" x14ac:dyDescent="0.4">
      <c r="A14779" s="4"/>
      <c r="B14779" s="4"/>
    </row>
    <row r="14780" spans="1:2" x14ac:dyDescent="0.4">
      <c r="A14780" s="4"/>
      <c r="B14780" s="4"/>
    </row>
    <row r="14781" spans="1:2" x14ac:dyDescent="0.4">
      <c r="A14781" s="4"/>
      <c r="B14781" s="4"/>
    </row>
    <row r="14782" spans="1:2" x14ac:dyDescent="0.4">
      <c r="A14782" s="4"/>
      <c r="B14782" s="4"/>
    </row>
    <row r="14783" spans="1:2" x14ac:dyDescent="0.4">
      <c r="A14783" s="4"/>
      <c r="B14783" s="4"/>
    </row>
    <row r="14784" spans="1:2" x14ac:dyDescent="0.4">
      <c r="A14784" s="4"/>
      <c r="B14784" s="4"/>
    </row>
    <row r="14785" spans="1:2" x14ac:dyDescent="0.4">
      <c r="A14785" s="4"/>
      <c r="B14785" s="4"/>
    </row>
    <row r="14786" spans="1:2" x14ac:dyDescent="0.4">
      <c r="A14786" s="4"/>
      <c r="B14786" s="4"/>
    </row>
    <row r="14787" spans="1:2" x14ac:dyDescent="0.4">
      <c r="A14787" s="4"/>
      <c r="B14787" s="4"/>
    </row>
    <row r="14788" spans="1:2" x14ac:dyDescent="0.4">
      <c r="A14788" s="4"/>
      <c r="B14788" s="4"/>
    </row>
    <row r="14789" spans="1:2" x14ac:dyDescent="0.4">
      <c r="A14789" s="4"/>
      <c r="B14789" s="4"/>
    </row>
    <row r="14790" spans="1:2" x14ac:dyDescent="0.4">
      <c r="A14790" s="4"/>
      <c r="B14790" s="4"/>
    </row>
    <row r="14791" spans="1:2" x14ac:dyDescent="0.4">
      <c r="A14791" s="4"/>
      <c r="B14791" s="4"/>
    </row>
    <row r="14792" spans="1:2" x14ac:dyDescent="0.4">
      <c r="A14792" s="4"/>
      <c r="B14792" s="4"/>
    </row>
    <row r="14793" spans="1:2" x14ac:dyDescent="0.4">
      <c r="A14793" s="4"/>
      <c r="B14793" s="4"/>
    </row>
    <row r="14794" spans="1:2" x14ac:dyDescent="0.4">
      <c r="A14794" s="4"/>
      <c r="B14794" s="4"/>
    </row>
    <row r="14795" spans="1:2" x14ac:dyDescent="0.4">
      <c r="A14795" s="4"/>
      <c r="B14795" s="4"/>
    </row>
    <row r="14796" spans="1:2" x14ac:dyDescent="0.4">
      <c r="A14796" s="4"/>
      <c r="B14796" s="4"/>
    </row>
    <row r="14797" spans="1:2" x14ac:dyDescent="0.4">
      <c r="A14797" s="4"/>
      <c r="B14797" s="4"/>
    </row>
    <row r="14798" spans="1:2" x14ac:dyDescent="0.4">
      <c r="A14798" s="4"/>
      <c r="B14798" s="4"/>
    </row>
    <row r="14799" spans="1:2" x14ac:dyDescent="0.4">
      <c r="A14799" s="4"/>
      <c r="B14799" s="4"/>
    </row>
    <row r="14800" spans="1:2" x14ac:dyDescent="0.4">
      <c r="A14800" s="4"/>
      <c r="B14800" s="4"/>
    </row>
    <row r="14801" spans="1:2" x14ac:dyDescent="0.4">
      <c r="A14801" s="4"/>
      <c r="B14801" s="4"/>
    </row>
    <row r="14802" spans="1:2" x14ac:dyDescent="0.4">
      <c r="A14802" s="4"/>
      <c r="B14802" s="4"/>
    </row>
    <row r="14803" spans="1:2" x14ac:dyDescent="0.4">
      <c r="A14803" s="4"/>
      <c r="B14803" s="4"/>
    </row>
    <row r="14804" spans="1:2" x14ac:dyDescent="0.4">
      <c r="A14804" s="4"/>
      <c r="B14804" s="4"/>
    </row>
    <row r="14805" spans="1:2" x14ac:dyDescent="0.4">
      <c r="A14805" s="4"/>
      <c r="B14805" s="4"/>
    </row>
    <row r="14806" spans="1:2" x14ac:dyDescent="0.4">
      <c r="A14806" s="4"/>
      <c r="B14806" s="4"/>
    </row>
    <row r="14807" spans="1:2" x14ac:dyDescent="0.4">
      <c r="A14807" s="4"/>
      <c r="B14807" s="4"/>
    </row>
    <row r="14808" spans="1:2" x14ac:dyDescent="0.4">
      <c r="A14808" s="4"/>
      <c r="B14808" s="4"/>
    </row>
    <row r="14809" spans="1:2" x14ac:dyDescent="0.4">
      <c r="A14809" s="4"/>
      <c r="B14809" s="4"/>
    </row>
    <row r="14810" spans="1:2" x14ac:dyDescent="0.4">
      <c r="A14810" s="4"/>
      <c r="B14810" s="4"/>
    </row>
    <row r="14811" spans="1:2" x14ac:dyDescent="0.4">
      <c r="A14811" s="4"/>
      <c r="B14811" s="4"/>
    </row>
    <row r="14812" spans="1:2" x14ac:dyDescent="0.4">
      <c r="A14812" s="4"/>
      <c r="B14812" s="4"/>
    </row>
    <row r="14813" spans="1:2" x14ac:dyDescent="0.4">
      <c r="A14813" s="4"/>
      <c r="B14813" s="4"/>
    </row>
    <row r="14814" spans="1:2" x14ac:dyDescent="0.4">
      <c r="A14814" s="4"/>
      <c r="B14814" s="4"/>
    </row>
    <row r="14815" spans="1:2" x14ac:dyDescent="0.4">
      <c r="A14815" s="4"/>
      <c r="B14815" s="4"/>
    </row>
    <row r="14816" spans="1:2" x14ac:dyDescent="0.4">
      <c r="A14816" s="4"/>
      <c r="B14816" s="4"/>
    </row>
    <row r="14817" spans="1:2" x14ac:dyDescent="0.4">
      <c r="A14817" s="4"/>
      <c r="B14817" s="4"/>
    </row>
    <row r="14818" spans="1:2" x14ac:dyDescent="0.4">
      <c r="A14818" s="4"/>
      <c r="B14818" s="4"/>
    </row>
    <row r="14819" spans="1:2" x14ac:dyDescent="0.4">
      <c r="A14819" s="4"/>
      <c r="B14819" s="4"/>
    </row>
    <row r="14820" spans="1:2" x14ac:dyDescent="0.4">
      <c r="A14820" s="4"/>
      <c r="B14820" s="4"/>
    </row>
    <row r="14821" spans="1:2" x14ac:dyDescent="0.4">
      <c r="A14821" s="4"/>
      <c r="B14821" s="4"/>
    </row>
    <row r="14822" spans="1:2" x14ac:dyDescent="0.4">
      <c r="A14822" s="4"/>
      <c r="B14822" s="4"/>
    </row>
    <row r="14823" spans="1:2" x14ac:dyDescent="0.4">
      <c r="A14823" s="4"/>
      <c r="B14823" s="4"/>
    </row>
    <row r="14824" spans="1:2" x14ac:dyDescent="0.4">
      <c r="A14824" s="4"/>
      <c r="B14824" s="4"/>
    </row>
    <row r="14825" spans="1:2" x14ac:dyDescent="0.4">
      <c r="A14825" s="4"/>
      <c r="B14825" s="4"/>
    </row>
    <row r="14826" spans="1:2" x14ac:dyDescent="0.4">
      <c r="A14826" s="4"/>
      <c r="B14826" s="4"/>
    </row>
    <row r="14827" spans="1:2" x14ac:dyDescent="0.4">
      <c r="A14827" s="4"/>
      <c r="B14827" s="4"/>
    </row>
    <row r="14828" spans="1:2" x14ac:dyDescent="0.4">
      <c r="A14828" s="4"/>
      <c r="B14828" s="4"/>
    </row>
    <row r="14829" spans="1:2" x14ac:dyDescent="0.4">
      <c r="A14829" s="4"/>
      <c r="B14829" s="4"/>
    </row>
    <row r="14830" spans="1:2" x14ac:dyDescent="0.4">
      <c r="A14830" s="4"/>
      <c r="B14830" s="4"/>
    </row>
    <row r="14831" spans="1:2" x14ac:dyDescent="0.4">
      <c r="A14831" s="4"/>
      <c r="B14831" s="4"/>
    </row>
    <row r="14832" spans="1:2" x14ac:dyDescent="0.4">
      <c r="A14832" s="4"/>
      <c r="B14832" s="4"/>
    </row>
    <row r="14833" spans="1:2" x14ac:dyDescent="0.4">
      <c r="A14833" s="4"/>
      <c r="B14833" s="4"/>
    </row>
    <row r="14834" spans="1:2" x14ac:dyDescent="0.4">
      <c r="A14834" s="4"/>
      <c r="B14834" s="4"/>
    </row>
    <row r="14835" spans="1:2" x14ac:dyDescent="0.4">
      <c r="A14835" s="4"/>
      <c r="B14835" s="4"/>
    </row>
    <row r="14836" spans="1:2" x14ac:dyDescent="0.4">
      <c r="A14836" s="4"/>
      <c r="B14836" s="4"/>
    </row>
    <row r="14837" spans="1:2" x14ac:dyDescent="0.4">
      <c r="A14837" s="4"/>
      <c r="B14837" s="4"/>
    </row>
    <row r="14838" spans="1:2" x14ac:dyDescent="0.4">
      <c r="A14838" s="4"/>
      <c r="B14838" s="4"/>
    </row>
    <row r="14839" spans="1:2" x14ac:dyDescent="0.4">
      <c r="A14839" s="4"/>
      <c r="B14839" s="4"/>
    </row>
    <row r="14840" spans="1:2" x14ac:dyDescent="0.4">
      <c r="A14840" s="4"/>
      <c r="B14840" s="4"/>
    </row>
    <row r="14841" spans="1:2" x14ac:dyDescent="0.4">
      <c r="A14841" s="4"/>
      <c r="B14841" s="4"/>
    </row>
    <row r="14842" spans="1:2" x14ac:dyDescent="0.4">
      <c r="A14842" s="4"/>
      <c r="B14842" s="4"/>
    </row>
    <row r="14843" spans="1:2" x14ac:dyDescent="0.4">
      <c r="A14843" s="4"/>
      <c r="B14843" s="4"/>
    </row>
    <row r="14844" spans="1:2" x14ac:dyDescent="0.4">
      <c r="A14844" s="4"/>
      <c r="B14844" s="4"/>
    </row>
    <row r="14845" spans="1:2" x14ac:dyDescent="0.4">
      <c r="A14845" s="4"/>
      <c r="B14845" s="4"/>
    </row>
    <row r="14846" spans="1:2" x14ac:dyDescent="0.4">
      <c r="A14846" s="4"/>
      <c r="B14846" s="4"/>
    </row>
    <row r="14847" spans="1:2" x14ac:dyDescent="0.4">
      <c r="A14847" s="4"/>
      <c r="B14847" s="4"/>
    </row>
    <row r="14848" spans="1:2" x14ac:dyDescent="0.4">
      <c r="A14848" s="4"/>
      <c r="B14848" s="4"/>
    </row>
    <row r="14849" spans="1:2" x14ac:dyDescent="0.4">
      <c r="A14849" s="4"/>
      <c r="B14849" s="4"/>
    </row>
    <row r="14850" spans="1:2" x14ac:dyDescent="0.4">
      <c r="A14850" s="4"/>
      <c r="B14850" s="4"/>
    </row>
    <row r="14851" spans="1:2" x14ac:dyDescent="0.4">
      <c r="A14851" s="4"/>
      <c r="B14851" s="4"/>
    </row>
    <row r="14852" spans="1:2" x14ac:dyDescent="0.4">
      <c r="A14852" s="4"/>
      <c r="B14852" s="4"/>
    </row>
    <row r="14853" spans="1:2" x14ac:dyDescent="0.4">
      <c r="A14853" s="4"/>
      <c r="B14853" s="4"/>
    </row>
    <row r="14854" spans="1:2" x14ac:dyDescent="0.4">
      <c r="A14854" s="4"/>
      <c r="B14854" s="4"/>
    </row>
    <row r="14855" spans="1:2" x14ac:dyDescent="0.4">
      <c r="A14855" s="4"/>
      <c r="B14855" s="4"/>
    </row>
    <row r="14856" spans="1:2" x14ac:dyDescent="0.4">
      <c r="A14856" s="4"/>
      <c r="B14856" s="4"/>
    </row>
    <row r="14857" spans="1:2" x14ac:dyDescent="0.4">
      <c r="A14857" s="4"/>
      <c r="B14857" s="4"/>
    </row>
    <row r="14858" spans="1:2" x14ac:dyDescent="0.4">
      <c r="A14858" s="4"/>
      <c r="B14858" s="4"/>
    </row>
    <row r="14859" spans="1:2" x14ac:dyDescent="0.4">
      <c r="A14859" s="4"/>
      <c r="B14859" s="4"/>
    </row>
    <row r="14860" spans="1:2" x14ac:dyDescent="0.4">
      <c r="A14860" s="4"/>
      <c r="B14860" s="4"/>
    </row>
    <row r="14861" spans="1:2" x14ac:dyDescent="0.4">
      <c r="A14861" s="4"/>
      <c r="B14861" s="4"/>
    </row>
    <row r="14862" spans="1:2" x14ac:dyDescent="0.4">
      <c r="A14862" s="4"/>
      <c r="B14862" s="4"/>
    </row>
    <row r="14863" spans="1:2" x14ac:dyDescent="0.4">
      <c r="A14863" s="4"/>
      <c r="B14863" s="4"/>
    </row>
    <row r="14864" spans="1:2" x14ac:dyDescent="0.4">
      <c r="A14864" s="4"/>
      <c r="B14864" s="4"/>
    </row>
    <row r="14865" spans="1:2" x14ac:dyDescent="0.4">
      <c r="A14865" s="4"/>
      <c r="B14865" s="4"/>
    </row>
    <row r="14866" spans="1:2" x14ac:dyDescent="0.4">
      <c r="A14866" s="4"/>
      <c r="B14866" s="4"/>
    </row>
    <row r="14867" spans="1:2" x14ac:dyDescent="0.4">
      <c r="A14867" s="4"/>
      <c r="B14867" s="4"/>
    </row>
    <row r="14868" spans="1:2" x14ac:dyDescent="0.4">
      <c r="A14868" s="4"/>
      <c r="B14868" s="4"/>
    </row>
    <row r="14869" spans="1:2" x14ac:dyDescent="0.4">
      <c r="A14869" s="4"/>
      <c r="B14869" s="4"/>
    </row>
    <row r="14870" spans="1:2" x14ac:dyDescent="0.4">
      <c r="A14870" s="4"/>
      <c r="B14870" s="4"/>
    </row>
    <row r="14871" spans="1:2" x14ac:dyDescent="0.4">
      <c r="A14871" s="4"/>
      <c r="B14871" s="4"/>
    </row>
    <row r="14872" spans="1:2" x14ac:dyDescent="0.4">
      <c r="A14872" s="4"/>
      <c r="B14872" s="4"/>
    </row>
    <row r="14873" spans="1:2" x14ac:dyDescent="0.4">
      <c r="A14873" s="4"/>
      <c r="B14873" s="4"/>
    </row>
    <row r="14874" spans="1:2" x14ac:dyDescent="0.4">
      <c r="A14874" s="4"/>
      <c r="B14874" s="4"/>
    </row>
    <row r="14875" spans="1:2" x14ac:dyDescent="0.4">
      <c r="A14875" s="4"/>
      <c r="B14875" s="4"/>
    </row>
    <row r="14876" spans="1:2" x14ac:dyDescent="0.4">
      <c r="A14876" s="4"/>
      <c r="B14876" s="4"/>
    </row>
    <row r="14877" spans="1:2" x14ac:dyDescent="0.4">
      <c r="A14877" s="4"/>
      <c r="B14877" s="4"/>
    </row>
    <row r="14878" spans="1:2" x14ac:dyDescent="0.4">
      <c r="A14878" s="4"/>
      <c r="B14878" s="4"/>
    </row>
    <row r="14879" spans="1:2" x14ac:dyDescent="0.4">
      <c r="A14879" s="4"/>
      <c r="B14879" s="4"/>
    </row>
    <row r="14880" spans="1:2" x14ac:dyDescent="0.4">
      <c r="A14880" s="4"/>
      <c r="B14880" s="4"/>
    </row>
    <row r="14881" spans="1:2" x14ac:dyDescent="0.4">
      <c r="A14881" s="4"/>
      <c r="B14881" s="4"/>
    </row>
    <row r="14882" spans="1:2" x14ac:dyDescent="0.4">
      <c r="A14882" s="4"/>
      <c r="B14882" s="4"/>
    </row>
    <row r="14883" spans="1:2" x14ac:dyDescent="0.4">
      <c r="A14883" s="4"/>
      <c r="B14883" s="4"/>
    </row>
    <row r="14884" spans="1:2" x14ac:dyDescent="0.4">
      <c r="A14884" s="4"/>
      <c r="B14884" s="4"/>
    </row>
    <row r="14885" spans="1:2" x14ac:dyDescent="0.4">
      <c r="A14885" s="4"/>
      <c r="B14885" s="4"/>
    </row>
    <row r="14886" spans="1:2" x14ac:dyDescent="0.4">
      <c r="A14886" s="4"/>
      <c r="B14886" s="4"/>
    </row>
    <row r="14887" spans="1:2" x14ac:dyDescent="0.4">
      <c r="A14887" s="4"/>
      <c r="B14887" s="4"/>
    </row>
    <row r="14888" spans="1:2" x14ac:dyDescent="0.4">
      <c r="A14888" s="4"/>
      <c r="B14888" s="4"/>
    </row>
    <row r="14889" spans="1:2" x14ac:dyDescent="0.4">
      <c r="A14889" s="4"/>
      <c r="B14889" s="4"/>
    </row>
    <row r="14890" spans="1:2" x14ac:dyDescent="0.4">
      <c r="A14890" s="4"/>
      <c r="B14890" s="4"/>
    </row>
    <row r="14891" spans="1:2" x14ac:dyDescent="0.4">
      <c r="A14891" s="4"/>
      <c r="B14891" s="4"/>
    </row>
    <row r="14892" spans="1:2" x14ac:dyDescent="0.4">
      <c r="A14892" s="4"/>
      <c r="B14892" s="4"/>
    </row>
    <row r="14893" spans="1:2" x14ac:dyDescent="0.4">
      <c r="A14893" s="4"/>
      <c r="B14893" s="4"/>
    </row>
    <row r="14894" spans="1:2" x14ac:dyDescent="0.4">
      <c r="A14894" s="4"/>
      <c r="B14894" s="4"/>
    </row>
    <row r="14895" spans="1:2" x14ac:dyDescent="0.4">
      <c r="A14895" s="4"/>
      <c r="B14895" s="4"/>
    </row>
    <row r="14896" spans="1:2" x14ac:dyDescent="0.4">
      <c r="A14896" s="4"/>
      <c r="B14896" s="4"/>
    </row>
    <row r="14897" spans="1:2" x14ac:dyDescent="0.4">
      <c r="A14897" s="4"/>
      <c r="B14897" s="4"/>
    </row>
    <row r="14898" spans="1:2" x14ac:dyDescent="0.4">
      <c r="A14898" s="4"/>
      <c r="B14898" s="4"/>
    </row>
    <row r="14899" spans="1:2" x14ac:dyDescent="0.4">
      <c r="A14899" s="4"/>
      <c r="B14899" s="4"/>
    </row>
    <row r="14900" spans="1:2" x14ac:dyDescent="0.4">
      <c r="A14900" s="4"/>
      <c r="B14900" s="4"/>
    </row>
    <row r="14901" spans="1:2" x14ac:dyDescent="0.4">
      <c r="A14901" s="4"/>
      <c r="B14901" s="4"/>
    </row>
    <row r="14902" spans="1:2" x14ac:dyDescent="0.4">
      <c r="A14902" s="4"/>
      <c r="B14902" s="4"/>
    </row>
    <row r="14903" spans="1:2" x14ac:dyDescent="0.4">
      <c r="A14903" s="4"/>
      <c r="B14903" s="4"/>
    </row>
    <row r="14904" spans="1:2" x14ac:dyDescent="0.4">
      <c r="A14904" s="4"/>
      <c r="B14904" s="4"/>
    </row>
    <row r="14905" spans="1:2" x14ac:dyDescent="0.4">
      <c r="A14905" s="4"/>
      <c r="B14905" s="4"/>
    </row>
    <row r="14906" spans="1:2" x14ac:dyDescent="0.4">
      <c r="A14906" s="4"/>
      <c r="B14906" s="4"/>
    </row>
    <row r="14907" spans="1:2" x14ac:dyDescent="0.4">
      <c r="A14907" s="4"/>
      <c r="B14907" s="4"/>
    </row>
    <row r="14908" spans="1:2" x14ac:dyDescent="0.4">
      <c r="A14908" s="4"/>
      <c r="B14908" s="4"/>
    </row>
    <row r="14909" spans="1:2" x14ac:dyDescent="0.4">
      <c r="A14909" s="4"/>
      <c r="B14909" s="4"/>
    </row>
    <row r="14910" spans="1:2" x14ac:dyDescent="0.4">
      <c r="A14910" s="4"/>
      <c r="B14910" s="4"/>
    </row>
    <row r="14911" spans="1:2" x14ac:dyDescent="0.4">
      <c r="A14911" s="4"/>
      <c r="B14911" s="4"/>
    </row>
    <row r="14912" spans="1:2" x14ac:dyDescent="0.4">
      <c r="A14912" s="4"/>
      <c r="B14912" s="4"/>
    </row>
    <row r="14913" spans="1:2" x14ac:dyDescent="0.4">
      <c r="A14913" s="4"/>
      <c r="B14913" s="4"/>
    </row>
    <row r="14914" spans="1:2" x14ac:dyDescent="0.4">
      <c r="A14914" s="4"/>
      <c r="B14914" s="4"/>
    </row>
    <row r="14915" spans="1:2" x14ac:dyDescent="0.4">
      <c r="A14915" s="4"/>
      <c r="B14915" s="4"/>
    </row>
    <row r="14916" spans="1:2" x14ac:dyDescent="0.4">
      <c r="A14916" s="4"/>
      <c r="B14916" s="4"/>
    </row>
    <row r="14917" spans="1:2" x14ac:dyDescent="0.4">
      <c r="A14917" s="4"/>
      <c r="B14917" s="4"/>
    </row>
    <row r="14918" spans="1:2" x14ac:dyDescent="0.4">
      <c r="A14918" s="4"/>
      <c r="B14918" s="4"/>
    </row>
    <row r="14919" spans="1:2" x14ac:dyDescent="0.4">
      <c r="A14919" s="4"/>
      <c r="B14919" s="4"/>
    </row>
    <row r="14920" spans="1:2" x14ac:dyDescent="0.4">
      <c r="A14920" s="4"/>
      <c r="B14920" s="4"/>
    </row>
    <row r="14921" spans="1:2" x14ac:dyDescent="0.4">
      <c r="A14921" s="4"/>
      <c r="B14921" s="4"/>
    </row>
    <row r="14922" spans="1:2" x14ac:dyDescent="0.4">
      <c r="A14922" s="4"/>
      <c r="B14922" s="4"/>
    </row>
    <row r="14923" spans="1:2" x14ac:dyDescent="0.4">
      <c r="A14923" s="4"/>
      <c r="B14923" s="4"/>
    </row>
    <row r="14924" spans="1:2" x14ac:dyDescent="0.4">
      <c r="A14924" s="4"/>
      <c r="B14924" s="4"/>
    </row>
    <row r="14925" spans="1:2" x14ac:dyDescent="0.4">
      <c r="A14925" s="4"/>
      <c r="B14925" s="4"/>
    </row>
    <row r="14926" spans="1:2" x14ac:dyDescent="0.4">
      <c r="A14926" s="4"/>
      <c r="B14926" s="4"/>
    </row>
    <row r="14927" spans="1:2" x14ac:dyDescent="0.4">
      <c r="A14927" s="4"/>
      <c r="B14927" s="4"/>
    </row>
    <row r="14928" spans="1:2" x14ac:dyDescent="0.4">
      <c r="A14928" s="4"/>
      <c r="B14928" s="4"/>
    </row>
    <row r="14929" spans="1:2" x14ac:dyDescent="0.4">
      <c r="A14929" s="4"/>
      <c r="B14929" s="4"/>
    </row>
    <row r="14930" spans="1:2" x14ac:dyDescent="0.4">
      <c r="A14930" s="4"/>
      <c r="B14930" s="4"/>
    </row>
    <row r="14931" spans="1:2" x14ac:dyDescent="0.4">
      <c r="A14931" s="4"/>
      <c r="B14931" s="4"/>
    </row>
    <row r="14932" spans="1:2" x14ac:dyDescent="0.4">
      <c r="A14932" s="4"/>
      <c r="B14932" s="4"/>
    </row>
    <row r="14933" spans="1:2" x14ac:dyDescent="0.4">
      <c r="A14933" s="4"/>
      <c r="B14933" s="4"/>
    </row>
    <row r="14934" spans="1:2" x14ac:dyDescent="0.4">
      <c r="A14934" s="4"/>
      <c r="B14934" s="4"/>
    </row>
    <row r="14935" spans="1:2" x14ac:dyDescent="0.4">
      <c r="A14935" s="4"/>
      <c r="B14935" s="4"/>
    </row>
    <row r="14936" spans="1:2" x14ac:dyDescent="0.4">
      <c r="A14936" s="4"/>
      <c r="B14936" s="4"/>
    </row>
    <row r="14937" spans="1:2" x14ac:dyDescent="0.4">
      <c r="A14937" s="4"/>
      <c r="B14937" s="4"/>
    </row>
    <row r="14938" spans="1:2" x14ac:dyDescent="0.4">
      <c r="A14938" s="4"/>
      <c r="B14938" s="4"/>
    </row>
    <row r="14939" spans="1:2" x14ac:dyDescent="0.4">
      <c r="A14939" s="4"/>
      <c r="B14939" s="4"/>
    </row>
    <row r="14940" spans="1:2" x14ac:dyDescent="0.4">
      <c r="A14940" s="4"/>
      <c r="B14940" s="4"/>
    </row>
    <row r="14941" spans="1:2" x14ac:dyDescent="0.4">
      <c r="A14941" s="4"/>
      <c r="B14941" s="4"/>
    </row>
    <row r="14942" spans="1:2" x14ac:dyDescent="0.4">
      <c r="A14942" s="4"/>
      <c r="B14942" s="4"/>
    </row>
    <row r="14943" spans="1:2" x14ac:dyDescent="0.4">
      <c r="A14943" s="4"/>
      <c r="B14943" s="4"/>
    </row>
    <row r="14944" spans="1:2" x14ac:dyDescent="0.4">
      <c r="A14944" s="4"/>
      <c r="B14944" s="4"/>
    </row>
    <row r="14945" spans="1:2" x14ac:dyDescent="0.4">
      <c r="A14945" s="4"/>
      <c r="B14945" s="4"/>
    </row>
    <row r="14946" spans="1:2" x14ac:dyDescent="0.4">
      <c r="A14946" s="4"/>
      <c r="B14946" s="4"/>
    </row>
    <row r="14947" spans="1:2" x14ac:dyDescent="0.4">
      <c r="A14947" s="4"/>
      <c r="B14947" s="4"/>
    </row>
    <row r="14948" spans="1:2" x14ac:dyDescent="0.4">
      <c r="A14948" s="4"/>
      <c r="B14948" s="4"/>
    </row>
    <row r="14949" spans="1:2" x14ac:dyDescent="0.4">
      <c r="A14949" s="4"/>
      <c r="B14949" s="4"/>
    </row>
    <row r="14950" spans="1:2" x14ac:dyDescent="0.4">
      <c r="A14950" s="4"/>
      <c r="B14950" s="4"/>
    </row>
    <row r="14951" spans="1:2" x14ac:dyDescent="0.4">
      <c r="A14951" s="4"/>
      <c r="B14951" s="4"/>
    </row>
    <row r="14952" spans="1:2" x14ac:dyDescent="0.4">
      <c r="A14952" s="4"/>
      <c r="B14952" s="4"/>
    </row>
    <row r="14953" spans="1:2" x14ac:dyDescent="0.4">
      <c r="A14953" s="4"/>
      <c r="B14953" s="4"/>
    </row>
    <row r="14954" spans="1:2" x14ac:dyDescent="0.4">
      <c r="A14954" s="4"/>
      <c r="B14954" s="4"/>
    </row>
    <row r="14955" spans="1:2" x14ac:dyDescent="0.4">
      <c r="A14955" s="4"/>
      <c r="B14955" s="4"/>
    </row>
    <row r="14956" spans="1:2" x14ac:dyDescent="0.4">
      <c r="A14956" s="4"/>
      <c r="B14956" s="4"/>
    </row>
    <row r="14957" spans="1:2" x14ac:dyDescent="0.4">
      <c r="A14957" s="4"/>
      <c r="B14957" s="4"/>
    </row>
    <row r="14958" spans="1:2" x14ac:dyDescent="0.4">
      <c r="A14958" s="4"/>
      <c r="B14958" s="4"/>
    </row>
    <row r="14959" spans="1:2" x14ac:dyDescent="0.4">
      <c r="A14959" s="4"/>
      <c r="B14959" s="4"/>
    </row>
    <row r="14960" spans="1:2" x14ac:dyDescent="0.4">
      <c r="A14960" s="4"/>
      <c r="B14960" s="4"/>
    </row>
    <row r="14961" spans="1:2" x14ac:dyDescent="0.4">
      <c r="A14961" s="4"/>
      <c r="B14961" s="4"/>
    </row>
    <row r="14962" spans="1:2" x14ac:dyDescent="0.4">
      <c r="A14962" s="4"/>
      <c r="B14962" s="4"/>
    </row>
    <row r="14963" spans="1:2" x14ac:dyDescent="0.4">
      <c r="A14963" s="4"/>
      <c r="B14963" s="4"/>
    </row>
    <row r="14964" spans="1:2" x14ac:dyDescent="0.4">
      <c r="A14964" s="4"/>
      <c r="B14964" s="4"/>
    </row>
    <row r="14965" spans="1:2" x14ac:dyDescent="0.4">
      <c r="A14965" s="4"/>
      <c r="B14965" s="4"/>
    </row>
    <row r="14966" spans="1:2" x14ac:dyDescent="0.4">
      <c r="A14966" s="4"/>
      <c r="B14966" s="4"/>
    </row>
    <row r="14967" spans="1:2" x14ac:dyDescent="0.4">
      <c r="A14967" s="4"/>
      <c r="B14967" s="4"/>
    </row>
    <row r="14968" spans="1:2" x14ac:dyDescent="0.4">
      <c r="A14968" s="4"/>
      <c r="B14968" s="4"/>
    </row>
    <row r="14969" spans="1:2" x14ac:dyDescent="0.4">
      <c r="A14969" s="4"/>
      <c r="B14969" s="4"/>
    </row>
    <row r="14970" spans="1:2" x14ac:dyDescent="0.4">
      <c r="A14970" s="4"/>
      <c r="B14970" s="4"/>
    </row>
    <row r="14971" spans="1:2" x14ac:dyDescent="0.4">
      <c r="A14971" s="4"/>
      <c r="B14971" s="4"/>
    </row>
    <row r="14972" spans="1:2" x14ac:dyDescent="0.4">
      <c r="A14972" s="4"/>
      <c r="B14972" s="4"/>
    </row>
    <row r="14973" spans="1:2" x14ac:dyDescent="0.4">
      <c r="A14973" s="4"/>
      <c r="B14973" s="4"/>
    </row>
    <row r="14974" spans="1:2" x14ac:dyDescent="0.4">
      <c r="A14974" s="4"/>
      <c r="B14974" s="4"/>
    </row>
    <row r="14975" spans="1:2" x14ac:dyDescent="0.4">
      <c r="A14975" s="4"/>
      <c r="B14975" s="4"/>
    </row>
    <row r="14976" spans="1:2" x14ac:dyDescent="0.4">
      <c r="A14976" s="4"/>
      <c r="B14976" s="4"/>
    </row>
    <row r="14977" spans="1:2" x14ac:dyDescent="0.4">
      <c r="A14977" s="4"/>
      <c r="B14977" s="4"/>
    </row>
    <row r="14978" spans="1:2" x14ac:dyDescent="0.4">
      <c r="A14978" s="4"/>
      <c r="B14978" s="4"/>
    </row>
    <row r="14979" spans="1:2" x14ac:dyDescent="0.4">
      <c r="A14979" s="4"/>
      <c r="B14979" s="4"/>
    </row>
    <row r="14980" spans="1:2" x14ac:dyDescent="0.4">
      <c r="A14980" s="4"/>
      <c r="B14980" s="4"/>
    </row>
    <row r="14981" spans="1:2" x14ac:dyDescent="0.4">
      <c r="A14981" s="4"/>
      <c r="B14981" s="4"/>
    </row>
    <row r="14982" spans="1:2" x14ac:dyDescent="0.4">
      <c r="A14982" s="4"/>
      <c r="B14982" s="4"/>
    </row>
    <row r="14983" spans="1:2" x14ac:dyDescent="0.4">
      <c r="A14983" s="4"/>
      <c r="B14983" s="4"/>
    </row>
    <row r="14984" spans="1:2" x14ac:dyDescent="0.4">
      <c r="A14984" s="4"/>
      <c r="B14984" s="4"/>
    </row>
    <row r="14985" spans="1:2" x14ac:dyDescent="0.4">
      <c r="A14985" s="4"/>
      <c r="B14985" s="4"/>
    </row>
    <row r="14986" spans="1:2" x14ac:dyDescent="0.4">
      <c r="A14986" s="4"/>
      <c r="B14986" s="4"/>
    </row>
    <row r="14987" spans="1:2" x14ac:dyDescent="0.4">
      <c r="A14987" s="4"/>
      <c r="B14987" s="4"/>
    </row>
    <row r="14988" spans="1:2" x14ac:dyDescent="0.4">
      <c r="A14988" s="4"/>
      <c r="B14988" s="4"/>
    </row>
    <row r="14989" spans="1:2" x14ac:dyDescent="0.4">
      <c r="A14989" s="4"/>
      <c r="B14989" s="4"/>
    </row>
    <row r="14990" spans="1:2" x14ac:dyDescent="0.4">
      <c r="A14990" s="4"/>
      <c r="B14990" s="4"/>
    </row>
    <row r="14991" spans="1:2" x14ac:dyDescent="0.4">
      <c r="A14991" s="4"/>
      <c r="B14991" s="4"/>
    </row>
    <row r="14992" spans="1:2" x14ac:dyDescent="0.4">
      <c r="A14992" s="4"/>
      <c r="B14992" s="4"/>
    </row>
    <row r="14993" spans="1:2" x14ac:dyDescent="0.4">
      <c r="A14993" s="4"/>
      <c r="B14993" s="4"/>
    </row>
    <row r="14994" spans="1:2" x14ac:dyDescent="0.4">
      <c r="A14994" s="4"/>
      <c r="B14994" s="4"/>
    </row>
    <row r="14995" spans="1:2" x14ac:dyDescent="0.4">
      <c r="A14995" s="4"/>
      <c r="B14995" s="4"/>
    </row>
    <row r="14996" spans="1:2" x14ac:dyDescent="0.4">
      <c r="A14996" s="4"/>
      <c r="B14996" s="4"/>
    </row>
    <row r="14997" spans="1:2" x14ac:dyDescent="0.4">
      <c r="A14997" s="4"/>
      <c r="B14997" s="4"/>
    </row>
    <row r="14998" spans="1:2" x14ac:dyDescent="0.4">
      <c r="A14998" s="4"/>
      <c r="B14998" s="4"/>
    </row>
    <row r="14999" spans="1:2" x14ac:dyDescent="0.4">
      <c r="A14999" s="4"/>
      <c r="B14999" s="4"/>
    </row>
    <row r="15000" spans="1:2" x14ac:dyDescent="0.4">
      <c r="A15000" s="4"/>
      <c r="B15000" s="4"/>
    </row>
    <row r="15001" spans="1:2" x14ac:dyDescent="0.4">
      <c r="A15001" s="4"/>
      <c r="B15001" s="4"/>
    </row>
    <row r="15002" spans="1:2" x14ac:dyDescent="0.4">
      <c r="A15002" s="4"/>
      <c r="B15002" s="4"/>
    </row>
    <row r="15003" spans="1:2" x14ac:dyDescent="0.4">
      <c r="A15003" s="4"/>
      <c r="B15003" s="4"/>
    </row>
    <row r="15004" spans="1:2" x14ac:dyDescent="0.4">
      <c r="A15004" s="4"/>
      <c r="B15004" s="4"/>
    </row>
    <row r="15005" spans="1:2" x14ac:dyDescent="0.4">
      <c r="A15005" s="4"/>
      <c r="B15005" s="4"/>
    </row>
    <row r="15006" spans="1:2" x14ac:dyDescent="0.4">
      <c r="A15006" s="4"/>
      <c r="B15006" s="4"/>
    </row>
    <row r="15007" spans="1:2" x14ac:dyDescent="0.4">
      <c r="A15007" s="4"/>
      <c r="B15007" s="4"/>
    </row>
    <row r="15008" spans="1:2" x14ac:dyDescent="0.4">
      <c r="A15008" s="4"/>
      <c r="B15008" s="4"/>
    </row>
    <row r="15009" spans="1:2" x14ac:dyDescent="0.4">
      <c r="A15009" s="4"/>
      <c r="B15009" s="4"/>
    </row>
    <row r="15010" spans="1:2" x14ac:dyDescent="0.4">
      <c r="A15010" s="4"/>
      <c r="B15010" s="4"/>
    </row>
    <row r="15011" spans="1:2" x14ac:dyDescent="0.4">
      <c r="A15011" s="4"/>
      <c r="B15011" s="4"/>
    </row>
    <row r="15012" spans="1:2" x14ac:dyDescent="0.4">
      <c r="A15012" s="4"/>
      <c r="B15012" s="4"/>
    </row>
    <row r="15013" spans="1:2" x14ac:dyDescent="0.4">
      <c r="A15013" s="4"/>
      <c r="B15013" s="4"/>
    </row>
    <row r="15014" spans="1:2" x14ac:dyDescent="0.4">
      <c r="A15014" s="4"/>
      <c r="B15014" s="4"/>
    </row>
    <row r="15015" spans="1:2" x14ac:dyDescent="0.4">
      <c r="A15015" s="4"/>
      <c r="B15015" s="4"/>
    </row>
    <row r="15016" spans="1:2" x14ac:dyDescent="0.4">
      <c r="A15016" s="4"/>
      <c r="B15016" s="4"/>
    </row>
    <row r="15017" spans="1:2" x14ac:dyDescent="0.4">
      <c r="A15017" s="4"/>
      <c r="B15017" s="4"/>
    </row>
    <row r="15018" spans="1:2" x14ac:dyDescent="0.4">
      <c r="A15018" s="4"/>
      <c r="B15018" s="4"/>
    </row>
    <row r="15019" spans="1:2" x14ac:dyDescent="0.4">
      <c r="A15019" s="4"/>
      <c r="B15019" s="4"/>
    </row>
    <row r="15020" spans="1:2" x14ac:dyDescent="0.4">
      <c r="A15020" s="4"/>
      <c r="B15020" s="4"/>
    </row>
    <row r="15021" spans="1:2" x14ac:dyDescent="0.4">
      <c r="A15021" s="4"/>
      <c r="B15021" s="4"/>
    </row>
    <row r="15022" spans="1:2" x14ac:dyDescent="0.4">
      <c r="A15022" s="4"/>
      <c r="B15022" s="4"/>
    </row>
    <row r="15023" spans="1:2" x14ac:dyDescent="0.4">
      <c r="A15023" s="4"/>
      <c r="B15023" s="4"/>
    </row>
    <row r="15024" spans="1:2" x14ac:dyDescent="0.4">
      <c r="A15024" s="4"/>
      <c r="B15024" s="4"/>
    </row>
    <row r="15025" spans="1:2" x14ac:dyDescent="0.4">
      <c r="A15025" s="4"/>
      <c r="B15025" s="4"/>
    </row>
    <row r="15026" spans="1:2" x14ac:dyDescent="0.4">
      <c r="A15026" s="4"/>
      <c r="B15026" s="4"/>
    </row>
    <row r="15027" spans="1:2" x14ac:dyDescent="0.4">
      <c r="A15027" s="4"/>
      <c r="B15027" s="4"/>
    </row>
    <row r="15028" spans="1:2" x14ac:dyDescent="0.4">
      <c r="A15028" s="4"/>
      <c r="B15028" s="4"/>
    </row>
    <row r="15029" spans="1:2" x14ac:dyDescent="0.4">
      <c r="A15029" s="4"/>
      <c r="B15029" s="4"/>
    </row>
    <row r="15030" spans="1:2" x14ac:dyDescent="0.4">
      <c r="A15030" s="4"/>
      <c r="B15030" s="4"/>
    </row>
    <row r="15031" spans="1:2" x14ac:dyDescent="0.4">
      <c r="A15031" s="4"/>
      <c r="B15031" s="4"/>
    </row>
    <row r="15032" spans="1:2" x14ac:dyDescent="0.4">
      <c r="A15032" s="4"/>
      <c r="B15032" s="4"/>
    </row>
    <row r="15033" spans="1:2" x14ac:dyDescent="0.4">
      <c r="A15033" s="4"/>
      <c r="B15033" s="4"/>
    </row>
    <row r="15034" spans="1:2" x14ac:dyDescent="0.4">
      <c r="A15034" s="4"/>
      <c r="B15034" s="4"/>
    </row>
    <row r="15035" spans="1:2" x14ac:dyDescent="0.4">
      <c r="A15035" s="4"/>
      <c r="B15035" s="4"/>
    </row>
    <row r="15036" spans="1:2" x14ac:dyDescent="0.4">
      <c r="A15036" s="4"/>
      <c r="B15036" s="4"/>
    </row>
    <row r="15037" spans="1:2" x14ac:dyDescent="0.4">
      <c r="A15037" s="4"/>
      <c r="B15037" s="4"/>
    </row>
    <row r="15038" spans="1:2" x14ac:dyDescent="0.4">
      <c r="A15038" s="4"/>
      <c r="B15038" s="4"/>
    </row>
    <row r="15039" spans="1:2" x14ac:dyDescent="0.4">
      <c r="A15039" s="4"/>
      <c r="B15039" s="4"/>
    </row>
    <row r="15040" spans="1:2" x14ac:dyDescent="0.4">
      <c r="A15040" s="4"/>
      <c r="B15040" s="4"/>
    </row>
    <row r="15041" spans="1:2" x14ac:dyDescent="0.4">
      <c r="A15041" s="4"/>
      <c r="B15041" s="4"/>
    </row>
    <row r="15042" spans="1:2" x14ac:dyDescent="0.4">
      <c r="A15042" s="4"/>
      <c r="B15042" s="4"/>
    </row>
    <row r="15043" spans="1:2" x14ac:dyDescent="0.4">
      <c r="A15043" s="4"/>
      <c r="B15043" s="4"/>
    </row>
    <row r="15044" spans="1:2" x14ac:dyDescent="0.4">
      <c r="A15044" s="4"/>
      <c r="B15044" s="4"/>
    </row>
    <row r="15045" spans="1:2" x14ac:dyDescent="0.4">
      <c r="A15045" s="4"/>
      <c r="B15045" s="4"/>
    </row>
    <row r="15046" spans="1:2" x14ac:dyDescent="0.4">
      <c r="A15046" s="4"/>
      <c r="B15046" s="4"/>
    </row>
    <row r="15047" spans="1:2" x14ac:dyDescent="0.4">
      <c r="A15047" s="4"/>
      <c r="B15047" s="4"/>
    </row>
    <row r="15048" spans="1:2" x14ac:dyDescent="0.4">
      <c r="A15048" s="4"/>
      <c r="B15048" s="4"/>
    </row>
    <row r="15049" spans="1:2" x14ac:dyDescent="0.4">
      <c r="A15049" s="4"/>
      <c r="B15049" s="4"/>
    </row>
    <row r="15050" spans="1:2" x14ac:dyDescent="0.4">
      <c r="A15050" s="4"/>
      <c r="B15050" s="4"/>
    </row>
    <row r="15051" spans="1:2" x14ac:dyDescent="0.4">
      <c r="A15051" s="4"/>
      <c r="B15051" s="4"/>
    </row>
    <row r="15052" spans="1:2" x14ac:dyDescent="0.4">
      <c r="A15052" s="4"/>
      <c r="B15052" s="4"/>
    </row>
    <row r="15053" spans="1:2" x14ac:dyDescent="0.4">
      <c r="A15053" s="4"/>
      <c r="B15053" s="4"/>
    </row>
    <row r="15054" spans="1:2" x14ac:dyDescent="0.4">
      <c r="A15054" s="4"/>
      <c r="B15054" s="4"/>
    </row>
    <row r="15055" spans="1:2" x14ac:dyDescent="0.4">
      <c r="A15055" s="4"/>
      <c r="B15055" s="4"/>
    </row>
    <row r="15056" spans="1:2" x14ac:dyDescent="0.4">
      <c r="A15056" s="4"/>
      <c r="B15056" s="4"/>
    </row>
    <row r="15057" spans="1:2" x14ac:dyDescent="0.4">
      <c r="A15057" s="4"/>
      <c r="B15057" s="4"/>
    </row>
    <row r="15058" spans="1:2" x14ac:dyDescent="0.4">
      <c r="A15058" s="4"/>
      <c r="B15058" s="4"/>
    </row>
    <row r="15059" spans="1:2" x14ac:dyDescent="0.4">
      <c r="A15059" s="4"/>
      <c r="B15059" s="4"/>
    </row>
    <row r="15060" spans="1:2" x14ac:dyDescent="0.4">
      <c r="A15060" s="4"/>
      <c r="B15060" s="4"/>
    </row>
    <row r="15061" spans="1:2" x14ac:dyDescent="0.4">
      <c r="A15061" s="4"/>
      <c r="B15061" s="4"/>
    </row>
    <row r="15062" spans="1:2" x14ac:dyDescent="0.4">
      <c r="A15062" s="4"/>
      <c r="B15062" s="4"/>
    </row>
    <row r="15063" spans="1:2" x14ac:dyDescent="0.4">
      <c r="A15063" s="4"/>
      <c r="B15063" s="4"/>
    </row>
    <row r="15064" spans="1:2" x14ac:dyDescent="0.4">
      <c r="A15064" s="4"/>
      <c r="B15064" s="4"/>
    </row>
    <row r="15065" spans="1:2" x14ac:dyDescent="0.4">
      <c r="A15065" s="4"/>
      <c r="B15065" s="4"/>
    </row>
    <row r="15066" spans="1:2" x14ac:dyDescent="0.4">
      <c r="A15066" s="4"/>
      <c r="B15066" s="4"/>
    </row>
    <row r="15067" spans="1:2" x14ac:dyDescent="0.4">
      <c r="A15067" s="4"/>
      <c r="B15067" s="4"/>
    </row>
    <row r="15068" spans="1:2" x14ac:dyDescent="0.4">
      <c r="A15068" s="4"/>
      <c r="B15068" s="4"/>
    </row>
    <row r="15069" spans="1:2" x14ac:dyDescent="0.4">
      <c r="A15069" s="4"/>
      <c r="B15069" s="4"/>
    </row>
    <row r="15070" spans="1:2" x14ac:dyDescent="0.4">
      <c r="A15070" s="4"/>
      <c r="B15070" s="4"/>
    </row>
    <row r="15071" spans="1:2" x14ac:dyDescent="0.4">
      <c r="A15071" s="4"/>
      <c r="B15071" s="4"/>
    </row>
    <row r="15072" spans="1:2" x14ac:dyDescent="0.4">
      <c r="A15072" s="4"/>
      <c r="B15072" s="4"/>
    </row>
    <row r="15073" spans="1:2" x14ac:dyDescent="0.4">
      <c r="A15073" s="4"/>
      <c r="B15073" s="4"/>
    </row>
    <row r="15074" spans="1:2" x14ac:dyDescent="0.4">
      <c r="A15074" s="4"/>
      <c r="B15074" s="4"/>
    </row>
    <row r="15075" spans="1:2" x14ac:dyDescent="0.4">
      <c r="A15075" s="4"/>
      <c r="B15075" s="4"/>
    </row>
    <row r="15076" spans="1:2" x14ac:dyDescent="0.4">
      <c r="A15076" s="4"/>
      <c r="B15076" s="4"/>
    </row>
    <row r="15077" spans="1:2" x14ac:dyDescent="0.4">
      <c r="A15077" s="4"/>
      <c r="B15077" s="4"/>
    </row>
    <row r="15078" spans="1:2" x14ac:dyDescent="0.4">
      <c r="A15078" s="4"/>
      <c r="B15078" s="4"/>
    </row>
    <row r="15079" spans="1:2" x14ac:dyDescent="0.4">
      <c r="A15079" s="4"/>
      <c r="B15079" s="4"/>
    </row>
    <row r="15080" spans="1:2" x14ac:dyDescent="0.4">
      <c r="A15080" s="4"/>
      <c r="B15080" s="4"/>
    </row>
    <row r="15081" spans="1:2" x14ac:dyDescent="0.4">
      <c r="A15081" s="4"/>
      <c r="B15081" s="4"/>
    </row>
    <row r="15082" spans="1:2" x14ac:dyDescent="0.4">
      <c r="A15082" s="4"/>
      <c r="B15082" s="4"/>
    </row>
    <row r="15083" spans="1:2" x14ac:dyDescent="0.4">
      <c r="A15083" s="4"/>
      <c r="B15083" s="4"/>
    </row>
    <row r="15084" spans="1:2" x14ac:dyDescent="0.4">
      <c r="A15084" s="4"/>
      <c r="B15084" s="4"/>
    </row>
    <row r="15085" spans="1:2" x14ac:dyDescent="0.4">
      <c r="A15085" s="4"/>
      <c r="B15085" s="4"/>
    </row>
    <row r="15086" spans="1:2" x14ac:dyDescent="0.4">
      <c r="A15086" s="4"/>
      <c r="B15086" s="4"/>
    </row>
    <row r="15087" spans="1:2" x14ac:dyDescent="0.4">
      <c r="A15087" s="4"/>
      <c r="B15087" s="4"/>
    </row>
    <row r="15088" spans="1:2" x14ac:dyDescent="0.4">
      <c r="A15088" s="4"/>
      <c r="B15088" s="4"/>
    </row>
    <row r="15089" spans="1:2" x14ac:dyDescent="0.4">
      <c r="A15089" s="4"/>
      <c r="B15089" s="4"/>
    </row>
    <row r="15090" spans="1:2" x14ac:dyDescent="0.4">
      <c r="A15090" s="4"/>
      <c r="B15090" s="4"/>
    </row>
    <row r="15091" spans="1:2" x14ac:dyDescent="0.4">
      <c r="A15091" s="4"/>
      <c r="B15091" s="4"/>
    </row>
    <row r="15092" spans="1:2" x14ac:dyDescent="0.4">
      <c r="A15092" s="4"/>
      <c r="B15092" s="4"/>
    </row>
    <row r="15093" spans="1:2" x14ac:dyDescent="0.4">
      <c r="A15093" s="4"/>
      <c r="B15093" s="4"/>
    </row>
    <row r="15094" spans="1:2" x14ac:dyDescent="0.4">
      <c r="A15094" s="4"/>
      <c r="B15094" s="4"/>
    </row>
    <row r="15095" spans="1:2" x14ac:dyDescent="0.4">
      <c r="A15095" s="4"/>
      <c r="B15095" s="4"/>
    </row>
    <row r="15096" spans="1:2" x14ac:dyDescent="0.4">
      <c r="A15096" s="4"/>
      <c r="B15096" s="4"/>
    </row>
    <row r="15097" spans="1:2" x14ac:dyDescent="0.4">
      <c r="A15097" s="4"/>
      <c r="B15097" s="4"/>
    </row>
    <row r="15098" spans="1:2" x14ac:dyDescent="0.4">
      <c r="A15098" s="4"/>
      <c r="B15098" s="4"/>
    </row>
    <row r="15099" spans="1:2" x14ac:dyDescent="0.4">
      <c r="A15099" s="4"/>
      <c r="B15099" s="4"/>
    </row>
    <row r="15100" spans="1:2" x14ac:dyDescent="0.4">
      <c r="A15100" s="4"/>
      <c r="B15100" s="4"/>
    </row>
    <row r="15101" spans="1:2" x14ac:dyDescent="0.4">
      <c r="A15101" s="4"/>
      <c r="B15101" s="4"/>
    </row>
    <row r="15102" spans="1:2" x14ac:dyDescent="0.4">
      <c r="A15102" s="4"/>
      <c r="B15102" s="4"/>
    </row>
    <row r="15103" spans="1:2" x14ac:dyDescent="0.4">
      <c r="A15103" s="4"/>
      <c r="B15103" s="4"/>
    </row>
    <row r="15104" spans="1:2" x14ac:dyDescent="0.4">
      <c r="A15104" s="4"/>
      <c r="B15104" s="4"/>
    </row>
    <row r="15105" spans="1:2" x14ac:dyDescent="0.4">
      <c r="A15105" s="4"/>
      <c r="B15105" s="4"/>
    </row>
    <row r="15106" spans="1:2" x14ac:dyDescent="0.4">
      <c r="A15106" s="4"/>
      <c r="B15106" s="4"/>
    </row>
    <row r="15107" spans="1:2" x14ac:dyDescent="0.4">
      <c r="A15107" s="4"/>
      <c r="B15107" s="4"/>
    </row>
    <row r="15108" spans="1:2" x14ac:dyDescent="0.4">
      <c r="A15108" s="4"/>
      <c r="B15108" s="4"/>
    </row>
    <row r="15109" spans="1:2" x14ac:dyDescent="0.4">
      <c r="A15109" s="4"/>
      <c r="B15109" s="4"/>
    </row>
    <row r="15110" spans="1:2" x14ac:dyDescent="0.4">
      <c r="A15110" s="4"/>
      <c r="B15110" s="4"/>
    </row>
    <row r="15111" spans="1:2" x14ac:dyDescent="0.4">
      <c r="A15111" s="4"/>
      <c r="B15111" s="4"/>
    </row>
    <row r="15112" spans="1:2" x14ac:dyDescent="0.4">
      <c r="A15112" s="4"/>
      <c r="B15112" s="4"/>
    </row>
    <row r="15113" spans="1:2" x14ac:dyDescent="0.4">
      <c r="A15113" s="4"/>
      <c r="B15113" s="4"/>
    </row>
    <row r="15114" spans="1:2" x14ac:dyDescent="0.4">
      <c r="A15114" s="4"/>
      <c r="B15114" s="4"/>
    </row>
    <row r="15115" spans="1:2" x14ac:dyDescent="0.4">
      <c r="A15115" s="4"/>
      <c r="B15115" s="4"/>
    </row>
    <row r="15116" spans="1:2" x14ac:dyDescent="0.4">
      <c r="A15116" s="4"/>
      <c r="B15116" s="4"/>
    </row>
    <row r="15117" spans="1:2" x14ac:dyDescent="0.4">
      <c r="A15117" s="4"/>
      <c r="B15117" s="4"/>
    </row>
    <row r="15118" spans="1:2" x14ac:dyDescent="0.4">
      <c r="A15118" s="4"/>
      <c r="B15118" s="4"/>
    </row>
    <row r="15119" spans="1:2" x14ac:dyDescent="0.4">
      <c r="A15119" s="4"/>
      <c r="B15119" s="4"/>
    </row>
    <row r="15120" spans="1:2" x14ac:dyDescent="0.4">
      <c r="A15120" s="4"/>
      <c r="B15120" s="4"/>
    </row>
    <row r="15121" spans="1:2" x14ac:dyDescent="0.4">
      <c r="A15121" s="4"/>
      <c r="B15121" s="4"/>
    </row>
    <row r="15122" spans="1:2" x14ac:dyDescent="0.4">
      <c r="A15122" s="4"/>
      <c r="B15122" s="4"/>
    </row>
    <row r="15123" spans="1:2" x14ac:dyDescent="0.4">
      <c r="A15123" s="4"/>
      <c r="B15123" s="4"/>
    </row>
    <row r="15124" spans="1:2" x14ac:dyDescent="0.4">
      <c r="A15124" s="4"/>
      <c r="B15124" s="4"/>
    </row>
    <row r="15125" spans="1:2" x14ac:dyDescent="0.4">
      <c r="A15125" s="4"/>
      <c r="B15125" s="4"/>
    </row>
    <row r="15126" spans="1:2" x14ac:dyDescent="0.4">
      <c r="A15126" s="4"/>
      <c r="B15126" s="4"/>
    </row>
    <row r="15127" spans="1:2" x14ac:dyDescent="0.4">
      <c r="A15127" s="4"/>
      <c r="B15127" s="4"/>
    </row>
    <row r="15128" spans="1:2" x14ac:dyDescent="0.4">
      <c r="A15128" s="4"/>
      <c r="B15128" s="4"/>
    </row>
    <row r="15129" spans="1:2" x14ac:dyDescent="0.4">
      <c r="A15129" s="4"/>
      <c r="B15129" s="4"/>
    </row>
    <row r="15130" spans="1:2" x14ac:dyDescent="0.4">
      <c r="A15130" s="4"/>
      <c r="B15130" s="4"/>
    </row>
    <row r="15131" spans="1:2" x14ac:dyDescent="0.4">
      <c r="A15131" s="4"/>
      <c r="B15131" s="4"/>
    </row>
    <row r="15132" spans="1:2" x14ac:dyDescent="0.4">
      <c r="A15132" s="4"/>
      <c r="B15132" s="4"/>
    </row>
    <row r="15133" spans="1:2" x14ac:dyDescent="0.4">
      <c r="A15133" s="4"/>
      <c r="B15133" s="4"/>
    </row>
    <row r="15134" spans="1:2" x14ac:dyDescent="0.4">
      <c r="A15134" s="4"/>
      <c r="B15134" s="4"/>
    </row>
    <row r="15135" spans="1:2" x14ac:dyDescent="0.4">
      <c r="A15135" s="4"/>
      <c r="B15135" s="4"/>
    </row>
    <row r="15136" spans="1:2" x14ac:dyDescent="0.4">
      <c r="A15136" s="4"/>
      <c r="B15136" s="4"/>
    </row>
    <row r="15137" spans="1:2" x14ac:dyDescent="0.4">
      <c r="A15137" s="4"/>
      <c r="B15137" s="4"/>
    </row>
    <row r="15138" spans="1:2" x14ac:dyDescent="0.4">
      <c r="A15138" s="4"/>
      <c r="B15138" s="4"/>
    </row>
    <row r="15139" spans="1:2" x14ac:dyDescent="0.4">
      <c r="A15139" s="4"/>
      <c r="B15139" s="4"/>
    </row>
    <row r="15140" spans="1:2" x14ac:dyDescent="0.4">
      <c r="A15140" s="4"/>
      <c r="B15140" s="4"/>
    </row>
    <row r="15141" spans="1:2" x14ac:dyDescent="0.4">
      <c r="A15141" s="4"/>
      <c r="B15141" s="4"/>
    </row>
    <row r="15142" spans="1:2" x14ac:dyDescent="0.4">
      <c r="A15142" s="4"/>
      <c r="B15142" s="4"/>
    </row>
    <row r="15143" spans="1:2" x14ac:dyDescent="0.4">
      <c r="A15143" s="4"/>
      <c r="B15143" s="4"/>
    </row>
    <row r="15144" spans="1:2" x14ac:dyDescent="0.4">
      <c r="A15144" s="4"/>
      <c r="B15144" s="4"/>
    </row>
    <row r="15145" spans="1:2" x14ac:dyDescent="0.4">
      <c r="A15145" s="4"/>
      <c r="B15145" s="4"/>
    </row>
    <row r="15146" spans="1:2" x14ac:dyDescent="0.4">
      <c r="A15146" s="4"/>
      <c r="B15146" s="4"/>
    </row>
    <row r="15147" spans="1:2" x14ac:dyDescent="0.4">
      <c r="A15147" s="4"/>
      <c r="B15147" s="4"/>
    </row>
    <row r="15148" spans="1:2" x14ac:dyDescent="0.4">
      <c r="A15148" s="4"/>
      <c r="B15148" s="4"/>
    </row>
    <row r="15149" spans="1:2" x14ac:dyDescent="0.4">
      <c r="A15149" s="4"/>
      <c r="B15149" s="4"/>
    </row>
    <row r="15150" spans="1:2" x14ac:dyDescent="0.4">
      <c r="A15150" s="4"/>
      <c r="B15150" s="4"/>
    </row>
    <row r="15151" spans="1:2" x14ac:dyDescent="0.4">
      <c r="A15151" s="4"/>
      <c r="B15151" s="4"/>
    </row>
    <row r="15152" spans="1:2" x14ac:dyDescent="0.4">
      <c r="A15152" s="4"/>
      <c r="B15152" s="4"/>
    </row>
    <row r="15153" spans="1:2" x14ac:dyDescent="0.4">
      <c r="A15153" s="4"/>
      <c r="B15153" s="4"/>
    </row>
    <row r="15154" spans="1:2" x14ac:dyDescent="0.4">
      <c r="A15154" s="4"/>
      <c r="B15154" s="4"/>
    </row>
    <row r="15155" spans="1:2" x14ac:dyDescent="0.4">
      <c r="A15155" s="4"/>
      <c r="B15155" s="4"/>
    </row>
    <row r="15156" spans="1:2" x14ac:dyDescent="0.4">
      <c r="A15156" s="4"/>
      <c r="B15156" s="4"/>
    </row>
    <row r="15157" spans="1:2" x14ac:dyDescent="0.4">
      <c r="A15157" s="4"/>
      <c r="B15157" s="4"/>
    </row>
    <row r="15158" spans="1:2" x14ac:dyDescent="0.4">
      <c r="A15158" s="4"/>
      <c r="B15158" s="4"/>
    </row>
    <row r="15159" spans="1:2" x14ac:dyDescent="0.4">
      <c r="A15159" s="4"/>
      <c r="B15159" s="4"/>
    </row>
    <row r="15160" spans="1:2" x14ac:dyDescent="0.4">
      <c r="A15160" s="4"/>
      <c r="B15160" s="4"/>
    </row>
    <row r="15161" spans="1:2" x14ac:dyDescent="0.4">
      <c r="A15161" s="4"/>
      <c r="B15161" s="4"/>
    </row>
    <row r="15162" spans="1:2" x14ac:dyDescent="0.4">
      <c r="A15162" s="4"/>
      <c r="B15162" s="4"/>
    </row>
    <row r="15163" spans="1:2" x14ac:dyDescent="0.4">
      <c r="A15163" s="4"/>
      <c r="B15163" s="4"/>
    </row>
    <row r="15164" spans="1:2" x14ac:dyDescent="0.4">
      <c r="A15164" s="4"/>
      <c r="B15164" s="4"/>
    </row>
    <row r="15165" spans="1:2" x14ac:dyDescent="0.4">
      <c r="A15165" s="4"/>
      <c r="B15165" s="4"/>
    </row>
    <row r="15166" spans="1:2" x14ac:dyDescent="0.4">
      <c r="A15166" s="4"/>
      <c r="B15166" s="4"/>
    </row>
    <row r="15167" spans="1:2" x14ac:dyDescent="0.4">
      <c r="A15167" s="4"/>
      <c r="B15167" s="4"/>
    </row>
    <row r="15168" spans="1:2" x14ac:dyDescent="0.4">
      <c r="A15168" s="4"/>
      <c r="B15168" s="4"/>
    </row>
    <row r="15169" spans="1:2" x14ac:dyDescent="0.4">
      <c r="A15169" s="4"/>
      <c r="B15169" s="4"/>
    </row>
    <row r="15170" spans="1:2" x14ac:dyDescent="0.4">
      <c r="A15170" s="4"/>
      <c r="B15170" s="4"/>
    </row>
    <row r="15171" spans="1:2" x14ac:dyDescent="0.4">
      <c r="A15171" s="4"/>
      <c r="B15171" s="4"/>
    </row>
    <row r="15172" spans="1:2" x14ac:dyDescent="0.4">
      <c r="A15172" s="4"/>
      <c r="B15172" s="4"/>
    </row>
    <row r="15173" spans="1:2" x14ac:dyDescent="0.4">
      <c r="A15173" s="4"/>
      <c r="B15173" s="4"/>
    </row>
    <row r="15174" spans="1:2" x14ac:dyDescent="0.4">
      <c r="A15174" s="4"/>
      <c r="B15174" s="4"/>
    </row>
    <row r="15175" spans="1:2" x14ac:dyDescent="0.4">
      <c r="A15175" s="4"/>
      <c r="B15175" s="4"/>
    </row>
    <row r="15176" spans="1:2" x14ac:dyDescent="0.4">
      <c r="A15176" s="4"/>
      <c r="B15176" s="4"/>
    </row>
    <row r="15177" spans="1:2" x14ac:dyDescent="0.4">
      <c r="A15177" s="4"/>
      <c r="B15177" s="4"/>
    </row>
    <row r="15178" spans="1:2" x14ac:dyDescent="0.4">
      <c r="A15178" s="4"/>
      <c r="B15178" s="4"/>
    </row>
    <row r="15179" spans="1:2" x14ac:dyDescent="0.4">
      <c r="A15179" s="4"/>
      <c r="B15179" s="4"/>
    </row>
    <row r="15180" spans="1:2" x14ac:dyDescent="0.4">
      <c r="A15180" s="4"/>
      <c r="B15180" s="4"/>
    </row>
    <row r="15181" spans="1:2" x14ac:dyDescent="0.4">
      <c r="A15181" s="4"/>
      <c r="B15181" s="4"/>
    </row>
    <row r="15182" spans="1:2" x14ac:dyDescent="0.4">
      <c r="A15182" s="4"/>
      <c r="B15182" s="4"/>
    </row>
    <row r="15183" spans="1:2" x14ac:dyDescent="0.4">
      <c r="A15183" s="4"/>
      <c r="B15183" s="4"/>
    </row>
    <row r="15184" spans="1:2" x14ac:dyDescent="0.4">
      <c r="A15184" s="4"/>
      <c r="B15184" s="4"/>
    </row>
    <row r="15185" spans="1:2" x14ac:dyDescent="0.4">
      <c r="A15185" s="4"/>
      <c r="B15185" s="4"/>
    </row>
    <row r="15186" spans="1:2" x14ac:dyDescent="0.4">
      <c r="A15186" s="4"/>
      <c r="B15186" s="4"/>
    </row>
    <row r="15187" spans="1:2" x14ac:dyDescent="0.4">
      <c r="A15187" s="4"/>
      <c r="B15187" s="4"/>
    </row>
    <row r="15188" spans="1:2" x14ac:dyDescent="0.4">
      <c r="A15188" s="4"/>
      <c r="B15188" s="4"/>
    </row>
    <row r="15189" spans="1:2" x14ac:dyDescent="0.4">
      <c r="A15189" s="4"/>
      <c r="B15189" s="4"/>
    </row>
    <row r="15190" spans="1:2" x14ac:dyDescent="0.4">
      <c r="A15190" s="4"/>
      <c r="B15190" s="4"/>
    </row>
    <row r="15191" spans="1:2" x14ac:dyDescent="0.4">
      <c r="A15191" s="4"/>
      <c r="B15191" s="4"/>
    </row>
    <row r="15192" spans="1:2" x14ac:dyDescent="0.4">
      <c r="A15192" s="4"/>
      <c r="B15192" s="4"/>
    </row>
    <row r="15193" spans="1:2" x14ac:dyDescent="0.4">
      <c r="A15193" s="4"/>
      <c r="B15193" s="4"/>
    </row>
    <row r="15194" spans="1:2" x14ac:dyDescent="0.4">
      <c r="A15194" s="4"/>
      <c r="B15194" s="4"/>
    </row>
    <row r="15195" spans="1:2" x14ac:dyDescent="0.4">
      <c r="A15195" s="4"/>
      <c r="B15195" s="4"/>
    </row>
    <row r="15196" spans="1:2" x14ac:dyDescent="0.4">
      <c r="A15196" s="4"/>
      <c r="B15196" s="4"/>
    </row>
    <row r="15197" spans="1:2" x14ac:dyDescent="0.4">
      <c r="A15197" s="4"/>
      <c r="B15197" s="4"/>
    </row>
    <row r="15198" spans="1:2" x14ac:dyDescent="0.4">
      <c r="A15198" s="4"/>
      <c r="B15198" s="4"/>
    </row>
    <row r="15199" spans="1:2" x14ac:dyDescent="0.4">
      <c r="A15199" s="4"/>
      <c r="B15199" s="4"/>
    </row>
    <row r="15200" spans="1:2" x14ac:dyDescent="0.4">
      <c r="A15200" s="4"/>
      <c r="B15200" s="4"/>
    </row>
    <row r="15201" spans="1:2" x14ac:dyDescent="0.4">
      <c r="A15201" s="4"/>
      <c r="B15201" s="4"/>
    </row>
    <row r="15202" spans="1:2" x14ac:dyDescent="0.4">
      <c r="A15202" s="4"/>
      <c r="B15202" s="4"/>
    </row>
    <row r="15203" spans="1:2" x14ac:dyDescent="0.4">
      <c r="A15203" s="4"/>
      <c r="B15203" s="4"/>
    </row>
    <row r="15204" spans="1:2" x14ac:dyDescent="0.4">
      <c r="A15204" s="4"/>
      <c r="B15204" s="4"/>
    </row>
    <row r="15205" spans="1:2" x14ac:dyDescent="0.4">
      <c r="A15205" s="4"/>
      <c r="B15205" s="4"/>
    </row>
    <row r="15206" spans="1:2" x14ac:dyDescent="0.4">
      <c r="A15206" s="4"/>
      <c r="B15206" s="4"/>
    </row>
    <row r="15207" spans="1:2" x14ac:dyDescent="0.4">
      <c r="A15207" s="4"/>
      <c r="B15207" s="4"/>
    </row>
    <row r="15208" spans="1:2" x14ac:dyDescent="0.4">
      <c r="A15208" s="4"/>
      <c r="B15208" s="4"/>
    </row>
    <row r="15209" spans="1:2" x14ac:dyDescent="0.4">
      <c r="A15209" s="4"/>
      <c r="B15209" s="4"/>
    </row>
    <row r="15210" spans="1:2" x14ac:dyDescent="0.4">
      <c r="A15210" s="4"/>
      <c r="B15210" s="4"/>
    </row>
    <row r="15211" spans="1:2" x14ac:dyDescent="0.4">
      <c r="A15211" s="4"/>
      <c r="B15211" s="4"/>
    </row>
    <row r="15212" spans="1:2" x14ac:dyDescent="0.4">
      <c r="A15212" s="4"/>
      <c r="B15212" s="4"/>
    </row>
    <row r="15213" spans="1:2" x14ac:dyDescent="0.4">
      <c r="A15213" s="4"/>
      <c r="B15213" s="4"/>
    </row>
    <row r="15214" spans="1:2" x14ac:dyDescent="0.4">
      <c r="A15214" s="4"/>
      <c r="B15214" s="4"/>
    </row>
    <row r="15215" spans="1:2" x14ac:dyDescent="0.4">
      <c r="A15215" s="4"/>
      <c r="B15215" s="4"/>
    </row>
    <row r="15216" spans="1:2" x14ac:dyDescent="0.4">
      <c r="A15216" s="4"/>
      <c r="B15216" s="4"/>
    </row>
    <row r="15217" spans="1:2" x14ac:dyDescent="0.4">
      <c r="A15217" s="4"/>
      <c r="B15217" s="4"/>
    </row>
    <row r="15218" spans="1:2" x14ac:dyDescent="0.4">
      <c r="A15218" s="4"/>
      <c r="B15218" s="4"/>
    </row>
    <row r="15219" spans="1:2" x14ac:dyDescent="0.4">
      <c r="A15219" s="4"/>
      <c r="B15219" s="4"/>
    </row>
    <row r="15220" spans="1:2" x14ac:dyDescent="0.4">
      <c r="A15220" s="4"/>
      <c r="B15220" s="4"/>
    </row>
    <row r="15221" spans="1:2" x14ac:dyDescent="0.4">
      <c r="A15221" s="4"/>
      <c r="B15221" s="4"/>
    </row>
    <row r="15222" spans="1:2" x14ac:dyDescent="0.4">
      <c r="A15222" s="4"/>
      <c r="B15222" s="4"/>
    </row>
    <row r="15223" spans="1:2" x14ac:dyDescent="0.4">
      <c r="A15223" s="4"/>
      <c r="B15223" s="4"/>
    </row>
    <row r="15224" spans="1:2" x14ac:dyDescent="0.4">
      <c r="A15224" s="4"/>
      <c r="B15224" s="4"/>
    </row>
    <row r="15225" spans="1:2" x14ac:dyDescent="0.4">
      <c r="A15225" s="4"/>
      <c r="B15225" s="4"/>
    </row>
    <row r="15226" spans="1:2" x14ac:dyDescent="0.4">
      <c r="A15226" s="4"/>
      <c r="B15226" s="4"/>
    </row>
    <row r="15227" spans="1:2" x14ac:dyDescent="0.4">
      <c r="A15227" s="4"/>
      <c r="B15227" s="4"/>
    </row>
    <row r="15228" spans="1:2" x14ac:dyDescent="0.4">
      <c r="A15228" s="4"/>
      <c r="B15228" s="4"/>
    </row>
    <row r="15229" spans="1:2" x14ac:dyDescent="0.4">
      <c r="A15229" s="4"/>
      <c r="B15229" s="4"/>
    </row>
    <row r="15230" spans="1:2" x14ac:dyDescent="0.4">
      <c r="A15230" s="4"/>
      <c r="B15230" s="4"/>
    </row>
    <row r="15231" spans="1:2" x14ac:dyDescent="0.4">
      <c r="A15231" s="4"/>
      <c r="B15231" s="4"/>
    </row>
    <row r="15232" spans="1:2" x14ac:dyDescent="0.4">
      <c r="A15232" s="4"/>
      <c r="B15232" s="4"/>
    </row>
    <row r="15233" spans="1:2" x14ac:dyDescent="0.4">
      <c r="A15233" s="4"/>
      <c r="B15233" s="4"/>
    </row>
    <row r="15234" spans="1:2" x14ac:dyDescent="0.4">
      <c r="A15234" s="4"/>
      <c r="B15234" s="4"/>
    </row>
    <row r="15235" spans="1:2" x14ac:dyDescent="0.4">
      <c r="A15235" s="4"/>
      <c r="B15235" s="4"/>
    </row>
    <row r="15236" spans="1:2" x14ac:dyDescent="0.4">
      <c r="A15236" s="4"/>
      <c r="B15236" s="4"/>
    </row>
    <row r="15237" spans="1:2" x14ac:dyDescent="0.4">
      <c r="A15237" s="4"/>
      <c r="B15237" s="4"/>
    </row>
    <row r="15238" spans="1:2" x14ac:dyDescent="0.4">
      <c r="A15238" s="4"/>
      <c r="B15238" s="4"/>
    </row>
    <row r="15239" spans="1:2" x14ac:dyDescent="0.4">
      <c r="A15239" s="4"/>
      <c r="B15239" s="4"/>
    </row>
    <row r="15240" spans="1:2" x14ac:dyDescent="0.4">
      <c r="A15240" s="4"/>
      <c r="B15240" s="4"/>
    </row>
    <row r="15241" spans="1:2" x14ac:dyDescent="0.4">
      <c r="A15241" s="4"/>
      <c r="B15241" s="4"/>
    </row>
    <row r="15242" spans="1:2" x14ac:dyDescent="0.4">
      <c r="A15242" s="4"/>
      <c r="B15242" s="4"/>
    </row>
    <row r="15243" spans="1:2" x14ac:dyDescent="0.4">
      <c r="A15243" s="4"/>
      <c r="B15243" s="4"/>
    </row>
    <row r="15244" spans="1:2" x14ac:dyDescent="0.4">
      <c r="A15244" s="4"/>
      <c r="B15244" s="4"/>
    </row>
    <row r="15245" spans="1:2" x14ac:dyDescent="0.4">
      <c r="A15245" s="4"/>
      <c r="B15245" s="4"/>
    </row>
    <row r="15246" spans="1:2" x14ac:dyDescent="0.4">
      <c r="A15246" s="4"/>
      <c r="B15246" s="4"/>
    </row>
    <row r="15247" spans="1:2" x14ac:dyDescent="0.4">
      <c r="A15247" s="4"/>
      <c r="B15247" s="4"/>
    </row>
    <row r="15248" spans="1:2" x14ac:dyDescent="0.4">
      <c r="A15248" s="4"/>
      <c r="B15248" s="4"/>
    </row>
    <row r="15249" spans="1:2" x14ac:dyDescent="0.4">
      <c r="A15249" s="4"/>
      <c r="B15249" s="4"/>
    </row>
    <row r="15250" spans="1:2" x14ac:dyDescent="0.4">
      <c r="A15250" s="4"/>
      <c r="B15250" s="4"/>
    </row>
    <row r="15251" spans="1:2" x14ac:dyDescent="0.4">
      <c r="A15251" s="4"/>
      <c r="B15251" s="4"/>
    </row>
    <row r="15252" spans="1:2" x14ac:dyDescent="0.4">
      <c r="A15252" s="4"/>
      <c r="B15252" s="4"/>
    </row>
    <row r="15253" spans="1:2" x14ac:dyDescent="0.4">
      <c r="A15253" s="4"/>
      <c r="B15253" s="4"/>
    </row>
    <row r="15254" spans="1:2" x14ac:dyDescent="0.4">
      <c r="A15254" s="4"/>
      <c r="B15254" s="4"/>
    </row>
    <row r="15255" spans="1:2" x14ac:dyDescent="0.4">
      <c r="A15255" s="4"/>
      <c r="B15255" s="4"/>
    </row>
    <row r="15256" spans="1:2" x14ac:dyDescent="0.4">
      <c r="A15256" s="4"/>
      <c r="B15256" s="4"/>
    </row>
    <row r="15257" spans="1:2" x14ac:dyDescent="0.4">
      <c r="A15257" s="4"/>
      <c r="B15257" s="4"/>
    </row>
    <row r="15258" spans="1:2" x14ac:dyDescent="0.4">
      <c r="A15258" s="4"/>
      <c r="B15258" s="4"/>
    </row>
    <row r="15259" spans="1:2" x14ac:dyDescent="0.4">
      <c r="A15259" s="4"/>
      <c r="B15259" s="4"/>
    </row>
    <row r="15260" spans="1:2" x14ac:dyDescent="0.4">
      <c r="A15260" s="4"/>
      <c r="B15260" s="4"/>
    </row>
    <row r="15261" spans="1:2" x14ac:dyDescent="0.4">
      <c r="A15261" s="4"/>
      <c r="B15261" s="4"/>
    </row>
    <row r="15262" spans="1:2" x14ac:dyDescent="0.4">
      <c r="A15262" s="4"/>
      <c r="B15262" s="4"/>
    </row>
    <row r="15263" spans="1:2" x14ac:dyDescent="0.4">
      <c r="A15263" s="4"/>
      <c r="B15263" s="4"/>
    </row>
    <row r="15264" spans="1:2" x14ac:dyDescent="0.4">
      <c r="A15264" s="4"/>
      <c r="B15264" s="4"/>
    </row>
    <row r="15265" spans="1:2" x14ac:dyDescent="0.4">
      <c r="A15265" s="4"/>
      <c r="B15265" s="4"/>
    </row>
    <row r="15266" spans="1:2" x14ac:dyDescent="0.4">
      <c r="A15266" s="4"/>
      <c r="B15266" s="4"/>
    </row>
    <row r="15267" spans="1:2" x14ac:dyDescent="0.4">
      <c r="A15267" s="4"/>
      <c r="B15267" s="4"/>
    </row>
    <row r="15268" spans="1:2" x14ac:dyDescent="0.4">
      <c r="A15268" s="4"/>
      <c r="B15268" s="4"/>
    </row>
    <row r="15269" spans="1:2" x14ac:dyDescent="0.4">
      <c r="A15269" s="4"/>
      <c r="B15269" s="4"/>
    </row>
    <row r="15270" spans="1:2" x14ac:dyDescent="0.4">
      <c r="A15270" s="4"/>
      <c r="B15270" s="4"/>
    </row>
    <row r="15271" spans="1:2" x14ac:dyDescent="0.4">
      <c r="A15271" s="4"/>
      <c r="B15271" s="4"/>
    </row>
    <row r="15272" spans="1:2" x14ac:dyDescent="0.4">
      <c r="A15272" s="4"/>
      <c r="B15272" s="4"/>
    </row>
    <row r="15273" spans="1:2" x14ac:dyDescent="0.4">
      <c r="A15273" s="4"/>
      <c r="B15273" s="4"/>
    </row>
    <row r="15274" spans="1:2" x14ac:dyDescent="0.4">
      <c r="A15274" s="4"/>
      <c r="B15274" s="4"/>
    </row>
    <row r="15275" spans="1:2" x14ac:dyDescent="0.4">
      <c r="A15275" s="4"/>
      <c r="B15275" s="4"/>
    </row>
    <row r="15276" spans="1:2" x14ac:dyDescent="0.4">
      <c r="A15276" s="4"/>
      <c r="B15276" s="4"/>
    </row>
    <row r="15277" spans="1:2" x14ac:dyDescent="0.4">
      <c r="A15277" s="4"/>
      <c r="B15277" s="4"/>
    </row>
    <row r="15278" spans="1:2" x14ac:dyDescent="0.4">
      <c r="A15278" s="4"/>
      <c r="B15278" s="4"/>
    </row>
    <row r="15279" spans="1:2" x14ac:dyDescent="0.4">
      <c r="A15279" s="4"/>
      <c r="B15279" s="4"/>
    </row>
    <row r="15280" spans="1:2" x14ac:dyDescent="0.4">
      <c r="A15280" s="4"/>
      <c r="B15280" s="4"/>
    </row>
    <row r="15281" spans="1:2" x14ac:dyDescent="0.4">
      <c r="A15281" s="4"/>
      <c r="B15281" s="4"/>
    </row>
    <row r="15282" spans="1:2" x14ac:dyDescent="0.4">
      <c r="A15282" s="4"/>
      <c r="B15282" s="4"/>
    </row>
    <row r="15283" spans="1:2" x14ac:dyDescent="0.4">
      <c r="A15283" s="4"/>
      <c r="B15283" s="4"/>
    </row>
    <row r="15284" spans="1:2" x14ac:dyDescent="0.4">
      <c r="A15284" s="4"/>
      <c r="B15284" s="4"/>
    </row>
    <row r="15285" spans="1:2" x14ac:dyDescent="0.4">
      <c r="A15285" s="4"/>
      <c r="B15285" s="4"/>
    </row>
    <row r="15286" spans="1:2" x14ac:dyDescent="0.4">
      <c r="A15286" s="4"/>
      <c r="B15286" s="4"/>
    </row>
    <row r="15287" spans="1:2" x14ac:dyDescent="0.4">
      <c r="A15287" s="4"/>
      <c r="B15287" s="4"/>
    </row>
    <row r="15288" spans="1:2" x14ac:dyDescent="0.4">
      <c r="A15288" s="4"/>
      <c r="B15288" s="4"/>
    </row>
    <row r="15289" spans="1:2" x14ac:dyDescent="0.4">
      <c r="A15289" s="4"/>
      <c r="B15289" s="4"/>
    </row>
    <row r="15290" spans="1:2" x14ac:dyDescent="0.4">
      <c r="A15290" s="4"/>
      <c r="B15290" s="4"/>
    </row>
    <row r="15291" spans="1:2" x14ac:dyDescent="0.4">
      <c r="A15291" s="4"/>
      <c r="B15291" s="4"/>
    </row>
    <row r="15292" spans="1:2" x14ac:dyDescent="0.4">
      <c r="A15292" s="4"/>
      <c r="B15292" s="4"/>
    </row>
    <row r="15293" spans="1:2" x14ac:dyDescent="0.4">
      <c r="A15293" s="4"/>
      <c r="B15293" s="4"/>
    </row>
    <row r="15294" spans="1:2" x14ac:dyDescent="0.4">
      <c r="A15294" s="4"/>
      <c r="B15294" s="4"/>
    </row>
    <row r="15295" spans="1:2" x14ac:dyDescent="0.4">
      <c r="A15295" s="4"/>
      <c r="B15295" s="4"/>
    </row>
    <row r="15296" spans="1:2" x14ac:dyDescent="0.4">
      <c r="A15296" s="4"/>
      <c r="B15296" s="4"/>
    </row>
    <row r="15297" spans="1:2" x14ac:dyDescent="0.4">
      <c r="A15297" s="4"/>
      <c r="B15297" s="4"/>
    </row>
    <row r="15298" spans="1:2" x14ac:dyDescent="0.4">
      <c r="A15298" s="4"/>
      <c r="B15298" s="4"/>
    </row>
    <row r="15299" spans="1:2" x14ac:dyDescent="0.4">
      <c r="A15299" s="4"/>
      <c r="B15299" s="4"/>
    </row>
    <row r="15300" spans="1:2" x14ac:dyDescent="0.4">
      <c r="A15300" s="4"/>
      <c r="B15300" s="4"/>
    </row>
    <row r="15301" spans="1:2" x14ac:dyDescent="0.4">
      <c r="A15301" s="4"/>
      <c r="B15301" s="4"/>
    </row>
    <row r="15302" spans="1:2" x14ac:dyDescent="0.4">
      <c r="A15302" s="4"/>
      <c r="B15302" s="4"/>
    </row>
    <row r="15303" spans="1:2" x14ac:dyDescent="0.4">
      <c r="A15303" s="4"/>
      <c r="B15303" s="4"/>
    </row>
    <row r="15304" spans="1:2" x14ac:dyDescent="0.4">
      <c r="A15304" s="4"/>
      <c r="B15304" s="4"/>
    </row>
    <row r="15305" spans="1:2" x14ac:dyDescent="0.4">
      <c r="A15305" s="4"/>
      <c r="B15305" s="4"/>
    </row>
    <row r="15306" spans="1:2" x14ac:dyDescent="0.4">
      <c r="A15306" s="4"/>
      <c r="B15306" s="4"/>
    </row>
    <row r="15307" spans="1:2" x14ac:dyDescent="0.4">
      <c r="A15307" s="4"/>
      <c r="B15307" s="4"/>
    </row>
    <row r="15308" spans="1:2" x14ac:dyDescent="0.4">
      <c r="A15308" s="4"/>
      <c r="B15308" s="4"/>
    </row>
    <row r="15309" spans="1:2" x14ac:dyDescent="0.4">
      <c r="A15309" s="4"/>
      <c r="B15309" s="4"/>
    </row>
    <row r="15310" spans="1:2" x14ac:dyDescent="0.4">
      <c r="A15310" s="4"/>
      <c r="B15310" s="4"/>
    </row>
    <row r="15311" spans="1:2" x14ac:dyDescent="0.4">
      <c r="A15311" s="4"/>
      <c r="B15311" s="4"/>
    </row>
    <row r="15312" spans="1:2" x14ac:dyDescent="0.4">
      <c r="A15312" s="4"/>
      <c r="B15312" s="4"/>
    </row>
    <row r="15313" spans="1:2" x14ac:dyDescent="0.4">
      <c r="A15313" s="4"/>
      <c r="B15313" s="4"/>
    </row>
    <row r="15314" spans="1:2" x14ac:dyDescent="0.4">
      <c r="A15314" s="4"/>
      <c r="B15314" s="4"/>
    </row>
    <row r="15315" spans="1:2" x14ac:dyDescent="0.4">
      <c r="A15315" s="4"/>
      <c r="B15315" s="4"/>
    </row>
    <row r="15316" spans="1:2" x14ac:dyDescent="0.4">
      <c r="A15316" s="4"/>
      <c r="B15316" s="4"/>
    </row>
    <row r="15317" spans="1:2" x14ac:dyDescent="0.4">
      <c r="A15317" s="4"/>
      <c r="B15317" s="4"/>
    </row>
    <row r="15318" spans="1:2" x14ac:dyDescent="0.4">
      <c r="A15318" s="4"/>
      <c r="B15318" s="4"/>
    </row>
    <row r="15319" spans="1:2" x14ac:dyDescent="0.4">
      <c r="A15319" s="4"/>
      <c r="B15319" s="4"/>
    </row>
    <row r="15320" spans="1:2" x14ac:dyDescent="0.4">
      <c r="A15320" s="4"/>
      <c r="B15320" s="4"/>
    </row>
    <row r="15321" spans="1:2" x14ac:dyDescent="0.4">
      <c r="A15321" s="4"/>
      <c r="B15321" s="4"/>
    </row>
    <row r="15322" spans="1:2" x14ac:dyDescent="0.4">
      <c r="A15322" s="4"/>
      <c r="B15322" s="4"/>
    </row>
    <row r="15323" spans="1:2" x14ac:dyDescent="0.4">
      <c r="A15323" s="4"/>
      <c r="B15323" s="4"/>
    </row>
    <row r="15324" spans="1:2" x14ac:dyDescent="0.4">
      <c r="A15324" s="4"/>
      <c r="B15324" s="4"/>
    </row>
    <row r="15325" spans="1:2" x14ac:dyDescent="0.4">
      <c r="A15325" s="4"/>
      <c r="B15325" s="4"/>
    </row>
    <row r="15326" spans="1:2" x14ac:dyDescent="0.4">
      <c r="A15326" s="4"/>
      <c r="B15326" s="4"/>
    </row>
    <row r="15327" spans="1:2" x14ac:dyDescent="0.4">
      <c r="A15327" s="4"/>
      <c r="B15327" s="4"/>
    </row>
    <row r="15328" spans="1:2" x14ac:dyDescent="0.4">
      <c r="A15328" s="4"/>
      <c r="B15328" s="4"/>
    </row>
    <row r="15329" spans="1:2" x14ac:dyDescent="0.4">
      <c r="A15329" s="4"/>
      <c r="B15329" s="4"/>
    </row>
    <row r="15330" spans="1:2" x14ac:dyDescent="0.4">
      <c r="A15330" s="4"/>
      <c r="B15330" s="4"/>
    </row>
    <row r="15331" spans="1:2" x14ac:dyDescent="0.4">
      <c r="A15331" s="4"/>
      <c r="B15331" s="4"/>
    </row>
    <row r="15332" spans="1:2" x14ac:dyDescent="0.4">
      <c r="A15332" s="4"/>
      <c r="B15332" s="4"/>
    </row>
    <row r="15333" spans="1:2" x14ac:dyDescent="0.4">
      <c r="A15333" s="4"/>
      <c r="B15333" s="4"/>
    </row>
    <row r="15334" spans="1:2" x14ac:dyDescent="0.4">
      <c r="A15334" s="4"/>
      <c r="B15334" s="4"/>
    </row>
    <row r="15335" spans="1:2" x14ac:dyDescent="0.4">
      <c r="A15335" s="4"/>
      <c r="B15335" s="4"/>
    </row>
    <row r="15336" spans="1:2" x14ac:dyDescent="0.4">
      <c r="A15336" s="4"/>
      <c r="B15336" s="4"/>
    </row>
    <row r="15337" spans="1:2" x14ac:dyDescent="0.4">
      <c r="A15337" s="4"/>
      <c r="B15337" s="4"/>
    </row>
    <row r="15338" spans="1:2" x14ac:dyDescent="0.4">
      <c r="A15338" s="4"/>
      <c r="B15338" s="4"/>
    </row>
    <row r="15339" spans="1:2" x14ac:dyDescent="0.4">
      <c r="A15339" s="4"/>
      <c r="B15339" s="4"/>
    </row>
    <row r="15340" spans="1:2" x14ac:dyDescent="0.4">
      <c r="A15340" s="4"/>
      <c r="B15340" s="4"/>
    </row>
    <row r="15341" spans="1:2" x14ac:dyDescent="0.4">
      <c r="A15341" s="4"/>
      <c r="B15341" s="4"/>
    </row>
    <row r="15342" spans="1:2" x14ac:dyDescent="0.4">
      <c r="A15342" s="4"/>
      <c r="B15342" s="4"/>
    </row>
    <row r="15343" spans="1:2" x14ac:dyDescent="0.4">
      <c r="A15343" s="4"/>
      <c r="B15343" s="4"/>
    </row>
    <row r="15344" spans="1:2" x14ac:dyDescent="0.4">
      <c r="A15344" s="4"/>
      <c r="B15344" s="4"/>
    </row>
    <row r="15345" spans="1:2" x14ac:dyDescent="0.4">
      <c r="A15345" s="4"/>
      <c r="B15345" s="4"/>
    </row>
    <row r="15346" spans="1:2" x14ac:dyDescent="0.4">
      <c r="A15346" s="4"/>
      <c r="B15346" s="4"/>
    </row>
    <row r="15347" spans="1:2" x14ac:dyDescent="0.4">
      <c r="A15347" s="4"/>
      <c r="B15347" s="4"/>
    </row>
    <row r="15348" spans="1:2" x14ac:dyDescent="0.4">
      <c r="A15348" s="4"/>
      <c r="B15348" s="4"/>
    </row>
    <row r="15349" spans="1:2" x14ac:dyDescent="0.4">
      <c r="A15349" s="4"/>
      <c r="B15349" s="4"/>
    </row>
    <row r="15350" spans="1:2" x14ac:dyDescent="0.4">
      <c r="A15350" s="4"/>
      <c r="B15350" s="4"/>
    </row>
    <row r="15351" spans="1:2" x14ac:dyDescent="0.4">
      <c r="A15351" s="4"/>
      <c r="B15351" s="4"/>
    </row>
    <row r="15352" spans="1:2" x14ac:dyDescent="0.4">
      <c r="A15352" s="4"/>
      <c r="B15352" s="4"/>
    </row>
    <row r="15353" spans="1:2" x14ac:dyDescent="0.4">
      <c r="A15353" s="4"/>
      <c r="B15353" s="4"/>
    </row>
    <row r="15354" spans="1:2" x14ac:dyDescent="0.4">
      <c r="A15354" s="4"/>
      <c r="B15354" s="4"/>
    </row>
    <row r="15355" spans="1:2" x14ac:dyDescent="0.4">
      <c r="A15355" s="4"/>
      <c r="B15355" s="4"/>
    </row>
    <row r="15356" spans="1:2" x14ac:dyDescent="0.4">
      <c r="A15356" s="4"/>
      <c r="B15356" s="4"/>
    </row>
    <row r="15357" spans="1:2" x14ac:dyDescent="0.4">
      <c r="A15357" s="4"/>
      <c r="B15357" s="4"/>
    </row>
    <row r="15358" spans="1:2" x14ac:dyDescent="0.4">
      <c r="A15358" s="4"/>
      <c r="B15358" s="4"/>
    </row>
    <row r="15359" spans="1:2" x14ac:dyDescent="0.4">
      <c r="A15359" s="4"/>
      <c r="B15359" s="4"/>
    </row>
    <row r="15360" spans="1:2" x14ac:dyDescent="0.4">
      <c r="A15360" s="4"/>
      <c r="B15360" s="4"/>
    </row>
    <row r="15361" spans="1:2" x14ac:dyDescent="0.4">
      <c r="A15361" s="4"/>
      <c r="B15361" s="4"/>
    </row>
    <row r="15362" spans="1:2" x14ac:dyDescent="0.4">
      <c r="A15362" s="4"/>
      <c r="B15362" s="4"/>
    </row>
    <row r="15363" spans="1:2" x14ac:dyDescent="0.4">
      <c r="A15363" s="4"/>
      <c r="B15363" s="4"/>
    </row>
    <row r="15364" spans="1:2" x14ac:dyDescent="0.4">
      <c r="A15364" s="4"/>
      <c r="B15364" s="4"/>
    </row>
    <row r="15365" spans="1:2" x14ac:dyDescent="0.4">
      <c r="A15365" s="4"/>
      <c r="B15365" s="4"/>
    </row>
    <row r="15366" spans="1:2" x14ac:dyDescent="0.4">
      <c r="A15366" s="4"/>
      <c r="B15366" s="4"/>
    </row>
    <row r="15367" spans="1:2" x14ac:dyDescent="0.4">
      <c r="A15367" s="4"/>
      <c r="B15367" s="4"/>
    </row>
    <row r="15368" spans="1:2" x14ac:dyDescent="0.4">
      <c r="A15368" s="4"/>
      <c r="B15368" s="4"/>
    </row>
    <row r="15369" spans="1:2" x14ac:dyDescent="0.4">
      <c r="A15369" s="4"/>
      <c r="B15369" s="4"/>
    </row>
    <row r="15370" spans="1:2" x14ac:dyDescent="0.4">
      <c r="A15370" s="4"/>
      <c r="B15370" s="4"/>
    </row>
    <row r="15371" spans="1:2" x14ac:dyDescent="0.4">
      <c r="A15371" s="4"/>
      <c r="B15371" s="4"/>
    </row>
    <row r="15372" spans="1:2" x14ac:dyDescent="0.4">
      <c r="A15372" s="4"/>
      <c r="B15372" s="4"/>
    </row>
    <row r="15373" spans="1:2" x14ac:dyDescent="0.4">
      <c r="A15373" s="4"/>
      <c r="B15373" s="4"/>
    </row>
    <row r="15374" spans="1:2" x14ac:dyDescent="0.4">
      <c r="A15374" s="4"/>
      <c r="B15374" s="4"/>
    </row>
    <row r="15375" spans="1:2" x14ac:dyDescent="0.4">
      <c r="A15375" s="4"/>
      <c r="B15375" s="4"/>
    </row>
    <row r="15376" spans="1:2" x14ac:dyDescent="0.4">
      <c r="A15376" s="4"/>
      <c r="B15376" s="4"/>
    </row>
    <row r="15377" spans="1:2" x14ac:dyDescent="0.4">
      <c r="A15377" s="4"/>
      <c r="B15377" s="4"/>
    </row>
    <row r="15378" spans="1:2" x14ac:dyDescent="0.4">
      <c r="A15378" s="4"/>
      <c r="B15378" s="4"/>
    </row>
    <row r="15379" spans="1:2" x14ac:dyDescent="0.4">
      <c r="A15379" s="4"/>
      <c r="B15379" s="4"/>
    </row>
    <row r="15380" spans="1:2" x14ac:dyDescent="0.4">
      <c r="A15380" s="4"/>
      <c r="B15380" s="4"/>
    </row>
    <row r="15381" spans="1:2" x14ac:dyDescent="0.4">
      <c r="A15381" s="4"/>
      <c r="B15381" s="4"/>
    </row>
    <row r="15382" spans="1:2" x14ac:dyDescent="0.4">
      <c r="A15382" s="4"/>
      <c r="B15382" s="4"/>
    </row>
    <row r="15383" spans="1:2" x14ac:dyDescent="0.4">
      <c r="A15383" s="4"/>
      <c r="B15383" s="4"/>
    </row>
    <row r="15384" spans="1:2" x14ac:dyDescent="0.4">
      <c r="A15384" s="4"/>
      <c r="B15384" s="4"/>
    </row>
    <row r="15385" spans="1:2" x14ac:dyDescent="0.4">
      <c r="A15385" s="4"/>
      <c r="B15385" s="4"/>
    </row>
    <row r="15386" spans="1:2" x14ac:dyDescent="0.4">
      <c r="A15386" s="4"/>
      <c r="B15386" s="4"/>
    </row>
    <row r="15387" spans="1:2" x14ac:dyDescent="0.4">
      <c r="A15387" s="4"/>
      <c r="B15387" s="4"/>
    </row>
    <row r="15388" spans="1:2" x14ac:dyDescent="0.4">
      <c r="A15388" s="4"/>
      <c r="B15388" s="4"/>
    </row>
    <row r="15389" spans="1:2" x14ac:dyDescent="0.4">
      <c r="A15389" s="4"/>
      <c r="B15389" s="4"/>
    </row>
    <row r="15390" spans="1:2" x14ac:dyDescent="0.4">
      <c r="A15390" s="4"/>
      <c r="B15390" s="4"/>
    </row>
    <row r="15391" spans="1:2" x14ac:dyDescent="0.4">
      <c r="A15391" s="4"/>
      <c r="B15391" s="4"/>
    </row>
    <row r="15392" spans="1:2" x14ac:dyDescent="0.4">
      <c r="A15392" s="4"/>
      <c r="B15392" s="4"/>
    </row>
    <row r="15393" spans="1:2" x14ac:dyDescent="0.4">
      <c r="A15393" s="4"/>
      <c r="B15393" s="4"/>
    </row>
    <row r="15394" spans="1:2" x14ac:dyDescent="0.4">
      <c r="A15394" s="4"/>
      <c r="B15394" s="4"/>
    </row>
    <row r="15395" spans="1:2" x14ac:dyDescent="0.4">
      <c r="A15395" s="4"/>
      <c r="B15395" s="4"/>
    </row>
    <row r="15396" spans="1:2" x14ac:dyDescent="0.4">
      <c r="A15396" s="4"/>
      <c r="B15396" s="4"/>
    </row>
    <row r="15397" spans="1:2" x14ac:dyDescent="0.4">
      <c r="A15397" s="4"/>
      <c r="B15397" s="4"/>
    </row>
    <row r="15398" spans="1:2" x14ac:dyDescent="0.4">
      <c r="A15398" s="4"/>
      <c r="B15398" s="4"/>
    </row>
    <row r="15399" spans="1:2" x14ac:dyDescent="0.4">
      <c r="A15399" s="4"/>
      <c r="B15399" s="4"/>
    </row>
    <row r="15400" spans="1:2" x14ac:dyDescent="0.4">
      <c r="A15400" s="4"/>
      <c r="B15400" s="4"/>
    </row>
    <row r="15401" spans="1:2" x14ac:dyDescent="0.4">
      <c r="A15401" s="4"/>
      <c r="B15401" s="4"/>
    </row>
    <row r="15402" spans="1:2" x14ac:dyDescent="0.4">
      <c r="A15402" s="4"/>
      <c r="B15402" s="4"/>
    </row>
    <row r="15403" spans="1:2" x14ac:dyDescent="0.4">
      <c r="A15403" s="4"/>
      <c r="B15403" s="4"/>
    </row>
    <row r="15404" spans="1:2" x14ac:dyDescent="0.4">
      <c r="A15404" s="4"/>
      <c r="B15404" s="4"/>
    </row>
    <row r="15405" spans="1:2" x14ac:dyDescent="0.4">
      <c r="A15405" s="4"/>
      <c r="B15405" s="4"/>
    </row>
    <row r="15406" spans="1:2" x14ac:dyDescent="0.4">
      <c r="A15406" s="4"/>
      <c r="B15406" s="4"/>
    </row>
    <row r="15407" spans="1:2" x14ac:dyDescent="0.4">
      <c r="A15407" s="4"/>
      <c r="B15407" s="4"/>
    </row>
    <row r="15408" spans="1:2" x14ac:dyDescent="0.4">
      <c r="A15408" s="4"/>
      <c r="B15408" s="4"/>
    </row>
    <row r="15409" spans="1:2" x14ac:dyDescent="0.4">
      <c r="A15409" s="4"/>
      <c r="B15409" s="4"/>
    </row>
    <row r="15410" spans="1:2" x14ac:dyDescent="0.4">
      <c r="A15410" s="4"/>
      <c r="B15410" s="4"/>
    </row>
    <row r="15411" spans="1:2" x14ac:dyDescent="0.4">
      <c r="A15411" s="4"/>
      <c r="B15411" s="4"/>
    </row>
    <row r="15412" spans="1:2" x14ac:dyDescent="0.4">
      <c r="A15412" s="4"/>
      <c r="B15412" s="4"/>
    </row>
    <row r="15413" spans="1:2" x14ac:dyDescent="0.4">
      <c r="A15413" s="4"/>
      <c r="B15413" s="4"/>
    </row>
    <row r="15414" spans="1:2" x14ac:dyDescent="0.4">
      <c r="A15414" s="4"/>
      <c r="B15414" s="4"/>
    </row>
    <row r="15415" spans="1:2" x14ac:dyDescent="0.4">
      <c r="A15415" s="4"/>
      <c r="B15415" s="4"/>
    </row>
    <row r="15416" spans="1:2" x14ac:dyDescent="0.4">
      <c r="A15416" s="4"/>
      <c r="B15416" s="4"/>
    </row>
    <row r="15417" spans="1:2" x14ac:dyDescent="0.4">
      <c r="A15417" s="4"/>
      <c r="B15417" s="4"/>
    </row>
    <row r="15418" spans="1:2" x14ac:dyDescent="0.4">
      <c r="A15418" s="4"/>
      <c r="B15418" s="4"/>
    </row>
    <row r="15419" spans="1:2" x14ac:dyDescent="0.4">
      <c r="A15419" s="4"/>
      <c r="B15419" s="4"/>
    </row>
    <row r="15420" spans="1:2" x14ac:dyDescent="0.4">
      <c r="A15420" s="4"/>
      <c r="B15420" s="4"/>
    </row>
    <row r="15421" spans="1:2" x14ac:dyDescent="0.4">
      <c r="A15421" s="4"/>
      <c r="B15421" s="4"/>
    </row>
    <row r="15422" spans="1:2" x14ac:dyDescent="0.4">
      <c r="A15422" s="4"/>
      <c r="B15422" s="4"/>
    </row>
    <row r="15423" spans="1:2" x14ac:dyDescent="0.4">
      <c r="A15423" s="4"/>
      <c r="B15423" s="4"/>
    </row>
    <row r="15424" spans="1:2" x14ac:dyDescent="0.4">
      <c r="A15424" s="4"/>
      <c r="B15424" s="4"/>
    </row>
    <row r="15425" spans="1:2" x14ac:dyDescent="0.4">
      <c r="A15425" s="4"/>
      <c r="B15425" s="4"/>
    </row>
    <row r="15426" spans="1:2" x14ac:dyDescent="0.4">
      <c r="A15426" s="4"/>
      <c r="B15426" s="4"/>
    </row>
    <row r="15427" spans="1:2" x14ac:dyDescent="0.4">
      <c r="A15427" s="4"/>
      <c r="B15427" s="4"/>
    </row>
    <row r="15428" spans="1:2" x14ac:dyDescent="0.4">
      <c r="A15428" s="4"/>
      <c r="B15428" s="4"/>
    </row>
    <row r="15429" spans="1:2" x14ac:dyDescent="0.4">
      <c r="A15429" s="4"/>
      <c r="B15429" s="4"/>
    </row>
    <row r="15430" spans="1:2" x14ac:dyDescent="0.4">
      <c r="A15430" s="4"/>
      <c r="B15430" s="4"/>
    </row>
    <row r="15431" spans="1:2" x14ac:dyDescent="0.4">
      <c r="A15431" s="4"/>
      <c r="B15431" s="4"/>
    </row>
    <row r="15432" spans="1:2" x14ac:dyDescent="0.4">
      <c r="A15432" s="4"/>
      <c r="B15432" s="4"/>
    </row>
    <row r="15433" spans="1:2" x14ac:dyDescent="0.4">
      <c r="A15433" s="4"/>
      <c r="B15433" s="4"/>
    </row>
    <row r="15434" spans="1:2" x14ac:dyDescent="0.4">
      <c r="A15434" s="4"/>
      <c r="B15434" s="4"/>
    </row>
    <row r="15435" spans="1:2" x14ac:dyDescent="0.4">
      <c r="A15435" s="4"/>
      <c r="B15435" s="4"/>
    </row>
    <row r="15436" spans="1:2" x14ac:dyDescent="0.4">
      <c r="A15436" s="4"/>
      <c r="B15436" s="4"/>
    </row>
    <row r="15437" spans="1:2" x14ac:dyDescent="0.4">
      <c r="A15437" s="4"/>
      <c r="B15437" s="4"/>
    </row>
    <row r="15438" spans="1:2" x14ac:dyDescent="0.4">
      <c r="A15438" s="4"/>
      <c r="B15438" s="4"/>
    </row>
    <row r="15439" spans="1:2" x14ac:dyDescent="0.4">
      <c r="A15439" s="4"/>
      <c r="B15439" s="4"/>
    </row>
    <row r="15440" spans="1:2" x14ac:dyDescent="0.4">
      <c r="A15440" s="4"/>
      <c r="B15440" s="4"/>
    </row>
    <row r="15441" spans="1:2" x14ac:dyDescent="0.4">
      <c r="A15441" s="4"/>
      <c r="B15441" s="4"/>
    </row>
    <row r="15442" spans="1:2" x14ac:dyDescent="0.4">
      <c r="A15442" s="4"/>
      <c r="B15442" s="4"/>
    </row>
    <row r="15443" spans="1:2" x14ac:dyDescent="0.4">
      <c r="A15443" s="4"/>
      <c r="B15443" s="4"/>
    </row>
    <row r="15444" spans="1:2" x14ac:dyDescent="0.4">
      <c r="A15444" s="4"/>
      <c r="B15444" s="4"/>
    </row>
    <row r="15445" spans="1:2" x14ac:dyDescent="0.4">
      <c r="A15445" s="4"/>
      <c r="B15445" s="4"/>
    </row>
    <row r="15446" spans="1:2" x14ac:dyDescent="0.4">
      <c r="A15446" s="4"/>
      <c r="B15446" s="4"/>
    </row>
    <row r="15447" spans="1:2" x14ac:dyDescent="0.4">
      <c r="A15447" s="4"/>
      <c r="B15447" s="4"/>
    </row>
    <row r="15448" spans="1:2" x14ac:dyDescent="0.4">
      <c r="A15448" s="4"/>
      <c r="B15448" s="4"/>
    </row>
    <row r="15449" spans="1:2" x14ac:dyDescent="0.4">
      <c r="A15449" s="4"/>
      <c r="B15449" s="4"/>
    </row>
    <row r="15450" spans="1:2" x14ac:dyDescent="0.4">
      <c r="A15450" s="4"/>
      <c r="B15450" s="4"/>
    </row>
    <row r="15451" spans="1:2" x14ac:dyDescent="0.4">
      <c r="A15451" s="4"/>
      <c r="B15451" s="4"/>
    </row>
    <row r="15452" spans="1:2" x14ac:dyDescent="0.4">
      <c r="A15452" s="4"/>
      <c r="B15452" s="4"/>
    </row>
    <row r="15453" spans="1:2" x14ac:dyDescent="0.4">
      <c r="A15453" s="4"/>
      <c r="B15453" s="4"/>
    </row>
    <row r="15454" spans="1:2" x14ac:dyDescent="0.4">
      <c r="A15454" s="4"/>
      <c r="B15454" s="4"/>
    </row>
    <row r="15455" spans="1:2" x14ac:dyDescent="0.4">
      <c r="A15455" s="4"/>
      <c r="B15455" s="4"/>
    </row>
    <row r="15456" spans="1:2" x14ac:dyDescent="0.4">
      <c r="A15456" s="4"/>
      <c r="B15456" s="4"/>
    </row>
    <row r="15457" spans="1:2" x14ac:dyDescent="0.4">
      <c r="A15457" s="4"/>
      <c r="B15457" s="4"/>
    </row>
    <row r="15458" spans="1:2" x14ac:dyDescent="0.4">
      <c r="A15458" s="4"/>
      <c r="B15458" s="4"/>
    </row>
    <row r="15459" spans="1:2" x14ac:dyDescent="0.4">
      <c r="A15459" s="4"/>
      <c r="B15459" s="4"/>
    </row>
    <row r="15460" spans="1:2" x14ac:dyDescent="0.4">
      <c r="A15460" s="4"/>
      <c r="B15460" s="4"/>
    </row>
    <row r="15461" spans="1:2" x14ac:dyDescent="0.4">
      <c r="A15461" s="4"/>
      <c r="B15461" s="4"/>
    </row>
    <row r="15462" spans="1:2" x14ac:dyDescent="0.4">
      <c r="A15462" s="4"/>
      <c r="B15462" s="4"/>
    </row>
    <row r="15463" spans="1:2" x14ac:dyDescent="0.4">
      <c r="A15463" s="4"/>
      <c r="B15463" s="4"/>
    </row>
    <row r="15464" spans="1:2" x14ac:dyDescent="0.4">
      <c r="A15464" s="4"/>
      <c r="B15464" s="4"/>
    </row>
    <row r="15465" spans="1:2" x14ac:dyDescent="0.4">
      <c r="A15465" s="4"/>
      <c r="B15465" s="4"/>
    </row>
    <row r="15466" spans="1:2" x14ac:dyDescent="0.4">
      <c r="A15466" s="4"/>
      <c r="B15466" s="4"/>
    </row>
    <row r="15467" spans="1:2" x14ac:dyDescent="0.4">
      <c r="A15467" s="4"/>
      <c r="B15467" s="4"/>
    </row>
    <row r="15468" spans="1:2" x14ac:dyDescent="0.4">
      <c r="A15468" s="4"/>
      <c r="B15468" s="4"/>
    </row>
    <row r="15469" spans="1:2" x14ac:dyDescent="0.4">
      <c r="A15469" s="4"/>
      <c r="B15469" s="4"/>
    </row>
    <row r="15470" spans="1:2" x14ac:dyDescent="0.4">
      <c r="A15470" s="4"/>
      <c r="B15470" s="4"/>
    </row>
    <row r="15471" spans="1:2" x14ac:dyDescent="0.4">
      <c r="A15471" s="4"/>
      <c r="B15471" s="4"/>
    </row>
    <row r="15472" spans="1:2" x14ac:dyDescent="0.4">
      <c r="A15472" s="4"/>
      <c r="B15472" s="4"/>
    </row>
    <row r="15473" spans="1:2" x14ac:dyDescent="0.4">
      <c r="A15473" s="4"/>
      <c r="B15473" s="4"/>
    </row>
    <row r="15474" spans="1:2" x14ac:dyDescent="0.4">
      <c r="A15474" s="4"/>
      <c r="B15474" s="4"/>
    </row>
    <row r="15475" spans="1:2" x14ac:dyDescent="0.4">
      <c r="A15475" s="4"/>
      <c r="B15475" s="4"/>
    </row>
    <row r="15476" spans="1:2" x14ac:dyDescent="0.4">
      <c r="A15476" s="4"/>
      <c r="B15476" s="4"/>
    </row>
    <row r="15477" spans="1:2" x14ac:dyDescent="0.4">
      <c r="A15477" s="4"/>
      <c r="B15477" s="4"/>
    </row>
    <row r="15478" spans="1:2" x14ac:dyDescent="0.4">
      <c r="A15478" s="4"/>
      <c r="B15478" s="4"/>
    </row>
    <row r="15479" spans="1:2" x14ac:dyDescent="0.4">
      <c r="A15479" s="4"/>
      <c r="B15479" s="4"/>
    </row>
    <row r="15480" spans="1:2" x14ac:dyDescent="0.4">
      <c r="A15480" s="4"/>
      <c r="B15480" s="4"/>
    </row>
    <row r="15481" spans="1:2" x14ac:dyDescent="0.4">
      <c r="A15481" s="4"/>
      <c r="B15481" s="4"/>
    </row>
    <row r="15482" spans="1:2" x14ac:dyDescent="0.4">
      <c r="A15482" s="4"/>
      <c r="B15482" s="4"/>
    </row>
    <row r="15483" spans="1:2" x14ac:dyDescent="0.4">
      <c r="A15483" s="4"/>
      <c r="B15483" s="4"/>
    </row>
    <row r="15484" spans="1:2" x14ac:dyDescent="0.4">
      <c r="A15484" s="4"/>
      <c r="B15484" s="4"/>
    </row>
    <row r="15485" spans="1:2" x14ac:dyDescent="0.4">
      <c r="A15485" s="4"/>
      <c r="B15485" s="4"/>
    </row>
    <row r="15486" spans="1:2" x14ac:dyDescent="0.4">
      <c r="A15486" s="4"/>
      <c r="B15486" s="4"/>
    </row>
    <row r="15487" spans="1:2" x14ac:dyDescent="0.4">
      <c r="A15487" s="4"/>
      <c r="B15487" s="4"/>
    </row>
    <row r="15488" spans="1:2" x14ac:dyDescent="0.4">
      <c r="A15488" s="4"/>
      <c r="B15488" s="4"/>
    </row>
    <row r="15489" spans="1:2" x14ac:dyDescent="0.4">
      <c r="A15489" s="4"/>
      <c r="B15489" s="4"/>
    </row>
    <row r="15490" spans="1:2" x14ac:dyDescent="0.4">
      <c r="A15490" s="4"/>
      <c r="B15490" s="4"/>
    </row>
    <row r="15491" spans="1:2" x14ac:dyDescent="0.4">
      <c r="A15491" s="4"/>
      <c r="B15491" s="4"/>
    </row>
    <row r="15492" spans="1:2" x14ac:dyDescent="0.4">
      <c r="A15492" s="4"/>
      <c r="B15492" s="4"/>
    </row>
    <row r="15493" spans="1:2" x14ac:dyDescent="0.4">
      <c r="A15493" s="4"/>
      <c r="B15493" s="4"/>
    </row>
    <row r="15494" spans="1:2" x14ac:dyDescent="0.4">
      <c r="A15494" s="4"/>
      <c r="B15494" s="4"/>
    </row>
    <row r="15495" spans="1:2" x14ac:dyDescent="0.4">
      <c r="A15495" s="4"/>
      <c r="B15495" s="4"/>
    </row>
    <row r="15496" spans="1:2" x14ac:dyDescent="0.4">
      <c r="A15496" s="4"/>
      <c r="B15496" s="4"/>
    </row>
    <row r="15497" spans="1:2" x14ac:dyDescent="0.4">
      <c r="A15497" s="4"/>
      <c r="B15497" s="4"/>
    </row>
    <row r="15498" spans="1:2" x14ac:dyDescent="0.4">
      <c r="A15498" s="4"/>
      <c r="B15498" s="4"/>
    </row>
    <row r="15499" spans="1:2" x14ac:dyDescent="0.4">
      <c r="A15499" s="4"/>
      <c r="B15499" s="4"/>
    </row>
    <row r="15500" spans="1:2" x14ac:dyDescent="0.4">
      <c r="A15500" s="4"/>
      <c r="B15500" s="4"/>
    </row>
    <row r="15501" spans="1:2" x14ac:dyDescent="0.4">
      <c r="A15501" s="4"/>
      <c r="B15501" s="4"/>
    </row>
    <row r="15502" spans="1:2" x14ac:dyDescent="0.4">
      <c r="A15502" s="4"/>
      <c r="B15502" s="4"/>
    </row>
    <row r="15503" spans="1:2" x14ac:dyDescent="0.4">
      <c r="A15503" s="4"/>
      <c r="B15503" s="4"/>
    </row>
    <row r="15504" spans="1:2" x14ac:dyDescent="0.4">
      <c r="A15504" s="4"/>
      <c r="B15504" s="4"/>
    </row>
    <row r="15505" spans="1:2" x14ac:dyDescent="0.4">
      <c r="A15505" s="4"/>
      <c r="B15505" s="4"/>
    </row>
    <row r="15506" spans="1:2" x14ac:dyDescent="0.4">
      <c r="A15506" s="4"/>
      <c r="B15506" s="4"/>
    </row>
    <row r="15507" spans="1:2" x14ac:dyDescent="0.4">
      <c r="A15507" s="4"/>
      <c r="B15507" s="4"/>
    </row>
    <row r="15508" spans="1:2" x14ac:dyDescent="0.4">
      <c r="A15508" s="4"/>
      <c r="B15508" s="4"/>
    </row>
    <row r="15509" spans="1:2" x14ac:dyDescent="0.4">
      <c r="A15509" s="4"/>
      <c r="B15509" s="4"/>
    </row>
    <row r="15510" spans="1:2" x14ac:dyDescent="0.4">
      <c r="A15510" s="4"/>
      <c r="B15510" s="4"/>
    </row>
    <row r="15511" spans="1:2" x14ac:dyDescent="0.4">
      <c r="A15511" s="4"/>
      <c r="B15511" s="4"/>
    </row>
    <row r="15512" spans="1:2" x14ac:dyDescent="0.4">
      <c r="A15512" s="4"/>
      <c r="B15512" s="4"/>
    </row>
    <row r="15513" spans="1:2" x14ac:dyDescent="0.4">
      <c r="A15513" s="4"/>
      <c r="B15513" s="4"/>
    </row>
    <row r="15514" spans="1:2" x14ac:dyDescent="0.4">
      <c r="A15514" s="4"/>
      <c r="B15514" s="4"/>
    </row>
    <row r="15515" spans="1:2" x14ac:dyDescent="0.4">
      <c r="A15515" s="4"/>
      <c r="B15515" s="4"/>
    </row>
    <row r="15516" spans="1:2" x14ac:dyDescent="0.4">
      <c r="A15516" s="4"/>
      <c r="B15516" s="4"/>
    </row>
    <row r="15517" spans="1:2" x14ac:dyDescent="0.4">
      <c r="A15517" s="4"/>
      <c r="B15517" s="4"/>
    </row>
    <row r="15518" spans="1:2" x14ac:dyDescent="0.4">
      <c r="A15518" s="4"/>
      <c r="B15518" s="4"/>
    </row>
    <row r="15519" spans="1:2" x14ac:dyDescent="0.4">
      <c r="A15519" s="4"/>
      <c r="B15519" s="4"/>
    </row>
    <row r="15520" spans="1:2" x14ac:dyDescent="0.4">
      <c r="A15520" s="4"/>
      <c r="B15520" s="4"/>
    </row>
    <row r="15521" spans="1:2" x14ac:dyDescent="0.4">
      <c r="A15521" s="4"/>
      <c r="B15521" s="4"/>
    </row>
    <row r="15522" spans="1:2" x14ac:dyDescent="0.4">
      <c r="A15522" s="4"/>
      <c r="B15522" s="4"/>
    </row>
    <row r="15523" spans="1:2" x14ac:dyDescent="0.4">
      <c r="A15523" s="4"/>
      <c r="B15523" s="4"/>
    </row>
    <row r="15524" spans="1:2" x14ac:dyDescent="0.4">
      <c r="A15524" s="4"/>
      <c r="B15524" s="4"/>
    </row>
    <row r="15525" spans="1:2" x14ac:dyDescent="0.4">
      <c r="A15525" s="4"/>
      <c r="B15525" s="4"/>
    </row>
    <row r="15526" spans="1:2" x14ac:dyDescent="0.4">
      <c r="A15526" s="4"/>
      <c r="B15526" s="4"/>
    </row>
    <row r="15527" spans="1:2" x14ac:dyDescent="0.4">
      <c r="A15527" s="4"/>
      <c r="B15527" s="4"/>
    </row>
    <row r="15528" spans="1:2" x14ac:dyDescent="0.4">
      <c r="A15528" s="4"/>
      <c r="B15528" s="4"/>
    </row>
    <row r="15529" spans="1:2" x14ac:dyDescent="0.4">
      <c r="A15529" s="4"/>
      <c r="B15529" s="4"/>
    </row>
    <row r="15530" spans="1:2" x14ac:dyDescent="0.4">
      <c r="A15530" s="4"/>
      <c r="B15530" s="4"/>
    </row>
    <row r="15531" spans="1:2" x14ac:dyDescent="0.4">
      <c r="A15531" s="4"/>
      <c r="B15531" s="4"/>
    </row>
    <row r="15532" spans="1:2" x14ac:dyDescent="0.4">
      <c r="A15532" s="4"/>
      <c r="B15532" s="4"/>
    </row>
    <row r="15533" spans="1:2" x14ac:dyDescent="0.4">
      <c r="A15533" s="4"/>
      <c r="B15533" s="4"/>
    </row>
    <row r="15534" spans="1:2" x14ac:dyDescent="0.4">
      <c r="A15534" s="4"/>
      <c r="B15534" s="4"/>
    </row>
    <row r="15535" spans="1:2" x14ac:dyDescent="0.4">
      <c r="A15535" s="4"/>
      <c r="B15535" s="4"/>
    </row>
    <row r="15536" spans="1:2" x14ac:dyDescent="0.4">
      <c r="A15536" s="4"/>
      <c r="B15536" s="4"/>
    </row>
    <row r="15537" spans="1:2" x14ac:dyDescent="0.4">
      <c r="A15537" s="4"/>
      <c r="B15537" s="4"/>
    </row>
    <row r="15538" spans="1:2" x14ac:dyDescent="0.4">
      <c r="A15538" s="4"/>
      <c r="B15538" s="4"/>
    </row>
    <row r="15539" spans="1:2" x14ac:dyDescent="0.4">
      <c r="A15539" s="4"/>
      <c r="B15539" s="4"/>
    </row>
    <row r="15540" spans="1:2" x14ac:dyDescent="0.4">
      <c r="A15540" s="4"/>
      <c r="B15540" s="4"/>
    </row>
    <row r="15541" spans="1:2" x14ac:dyDescent="0.4">
      <c r="A15541" s="4"/>
      <c r="B15541" s="4"/>
    </row>
    <row r="15542" spans="1:2" x14ac:dyDescent="0.4">
      <c r="A15542" s="4"/>
      <c r="B15542" s="4"/>
    </row>
    <row r="15543" spans="1:2" x14ac:dyDescent="0.4">
      <c r="A15543" s="4"/>
      <c r="B15543" s="4"/>
    </row>
    <row r="15544" spans="1:2" x14ac:dyDescent="0.4">
      <c r="A15544" s="4"/>
      <c r="B15544" s="4"/>
    </row>
    <row r="15545" spans="1:2" x14ac:dyDescent="0.4">
      <c r="A15545" s="4"/>
      <c r="B15545" s="4"/>
    </row>
    <row r="15546" spans="1:2" x14ac:dyDescent="0.4">
      <c r="A15546" s="4"/>
      <c r="B15546" s="4"/>
    </row>
    <row r="15547" spans="1:2" x14ac:dyDescent="0.4">
      <c r="A15547" s="4"/>
      <c r="B15547" s="4"/>
    </row>
    <row r="15548" spans="1:2" x14ac:dyDescent="0.4">
      <c r="A15548" s="4"/>
      <c r="B15548" s="4"/>
    </row>
    <row r="15549" spans="1:2" x14ac:dyDescent="0.4">
      <c r="A15549" s="4"/>
      <c r="B15549" s="4"/>
    </row>
    <row r="15550" spans="1:2" x14ac:dyDescent="0.4">
      <c r="A15550" s="4"/>
      <c r="B15550" s="4"/>
    </row>
    <row r="15551" spans="1:2" x14ac:dyDescent="0.4">
      <c r="A15551" s="4"/>
      <c r="B15551" s="4"/>
    </row>
    <row r="15552" spans="1:2" x14ac:dyDescent="0.4">
      <c r="A15552" s="4"/>
      <c r="B15552" s="4"/>
    </row>
    <row r="15553" spans="1:2" x14ac:dyDescent="0.4">
      <c r="A15553" s="4"/>
      <c r="B15553" s="4"/>
    </row>
    <row r="15554" spans="1:2" x14ac:dyDescent="0.4">
      <c r="A15554" s="4"/>
      <c r="B15554" s="4"/>
    </row>
    <row r="15555" spans="1:2" x14ac:dyDescent="0.4">
      <c r="A15555" s="4"/>
      <c r="B15555" s="4"/>
    </row>
    <row r="15556" spans="1:2" x14ac:dyDescent="0.4">
      <c r="A15556" s="4"/>
      <c r="B15556" s="4"/>
    </row>
    <row r="15557" spans="1:2" x14ac:dyDescent="0.4">
      <c r="A15557" s="4"/>
      <c r="B15557" s="4"/>
    </row>
    <row r="15558" spans="1:2" x14ac:dyDescent="0.4">
      <c r="A15558" s="4"/>
      <c r="B15558" s="4"/>
    </row>
    <row r="15559" spans="1:2" x14ac:dyDescent="0.4">
      <c r="A15559" s="4"/>
      <c r="B15559" s="4"/>
    </row>
    <row r="15560" spans="1:2" x14ac:dyDescent="0.4">
      <c r="A15560" s="4"/>
      <c r="B15560" s="4"/>
    </row>
    <row r="15561" spans="1:2" x14ac:dyDescent="0.4">
      <c r="A15561" s="4"/>
      <c r="B15561" s="4"/>
    </row>
    <row r="15562" spans="1:2" x14ac:dyDescent="0.4">
      <c r="A15562" s="4"/>
      <c r="B15562" s="4"/>
    </row>
    <row r="15563" spans="1:2" x14ac:dyDescent="0.4">
      <c r="A15563" s="4"/>
      <c r="B15563" s="4"/>
    </row>
    <row r="15564" spans="1:2" x14ac:dyDescent="0.4">
      <c r="A15564" s="4"/>
      <c r="B15564" s="4"/>
    </row>
    <row r="15565" spans="1:2" x14ac:dyDescent="0.4">
      <c r="A15565" s="4"/>
      <c r="B15565" s="4"/>
    </row>
    <row r="15566" spans="1:2" x14ac:dyDescent="0.4">
      <c r="A15566" s="4"/>
      <c r="B15566" s="4"/>
    </row>
    <row r="15567" spans="1:2" x14ac:dyDescent="0.4">
      <c r="A15567" s="4"/>
      <c r="B15567" s="4"/>
    </row>
    <row r="15568" spans="1:2" x14ac:dyDescent="0.4">
      <c r="A15568" s="4"/>
      <c r="B15568" s="4"/>
    </row>
    <row r="15569" spans="1:2" x14ac:dyDescent="0.4">
      <c r="A15569" s="4"/>
      <c r="B15569" s="4"/>
    </row>
    <row r="15570" spans="1:2" x14ac:dyDescent="0.4">
      <c r="A15570" s="4"/>
      <c r="B15570" s="4"/>
    </row>
    <row r="15571" spans="1:2" x14ac:dyDescent="0.4">
      <c r="A15571" s="4"/>
      <c r="B15571" s="4"/>
    </row>
    <row r="15572" spans="1:2" x14ac:dyDescent="0.4">
      <c r="A15572" s="4"/>
      <c r="B15572" s="4"/>
    </row>
    <row r="15573" spans="1:2" x14ac:dyDescent="0.4">
      <c r="A15573" s="4"/>
      <c r="B15573" s="4"/>
    </row>
    <row r="15574" spans="1:2" x14ac:dyDescent="0.4">
      <c r="A15574" s="4"/>
      <c r="B15574" s="4"/>
    </row>
    <row r="15575" spans="1:2" x14ac:dyDescent="0.4">
      <c r="A15575" s="4"/>
      <c r="B15575" s="4"/>
    </row>
    <row r="15576" spans="1:2" x14ac:dyDescent="0.4">
      <c r="A15576" s="4"/>
      <c r="B15576" s="4"/>
    </row>
    <row r="15577" spans="1:2" x14ac:dyDescent="0.4">
      <c r="A15577" s="4"/>
      <c r="B15577" s="4"/>
    </row>
    <row r="15578" spans="1:2" x14ac:dyDescent="0.4">
      <c r="A15578" s="4"/>
      <c r="B15578" s="4"/>
    </row>
    <row r="15579" spans="1:2" x14ac:dyDescent="0.4">
      <c r="A15579" s="4"/>
      <c r="B15579" s="4"/>
    </row>
    <row r="15580" spans="1:2" x14ac:dyDescent="0.4">
      <c r="A15580" s="4"/>
      <c r="B15580" s="4"/>
    </row>
    <row r="15581" spans="1:2" x14ac:dyDescent="0.4">
      <c r="A15581" s="4"/>
      <c r="B15581" s="4"/>
    </row>
    <row r="15582" spans="1:2" x14ac:dyDescent="0.4">
      <c r="A15582" s="4"/>
      <c r="B15582" s="4"/>
    </row>
    <row r="15583" spans="1:2" x14ac:dyDescent="0.4">
      <c r="A15583" s="4"/>
      <c r="B15583" s="4"/>
    </row>
    <row r="15584" spans="1:2" x14ac:dyDescent="0.4">
      <c r="A15584" s="4"/>
      <c r="B15584" s="4"/>
    </row>
    <row r="15585" spans="1:2" x14ac:dyDescent="0.4">
      <c r="A15585" s="4"/>
      <c r="B15585" s="4"/>
    </row>
    <row r="15586" spans="1:2" x14ac:dyDescent="0.4">
      <c r="A15586" s="4"/>
      <c r="B15586" s="4"/>
    </row>
    <row r="15587" spans="1:2" x14ac:dyDescent="0.4">
      <c r="A15587" s="4"/>
      <c r="B15587" s="4"/>
    </row>
    <row r="15588" spans="1:2" x14ac:dyDescent="0.4">
      <c r="A15588" s="4"/>
      <c r="B15588" s="4"/>
    </row>
    <row r="15589" spans="1:2" x14ac:dyDescent="0.4">
      <c r="A15589" s="4"/>
      <c r="B15589" s="4"/>
    </row>
    <row r="15590" spans="1:2" x14ac:dyDescent="0.4">
      <c r="A15590" s="4"/>
      <c r="B15590" s="4"/>
    </row>
    <row r="15591" spans="1:2" x14ac:dyDescent="0.4">
      <c r="A15591" s="4"/>
      <c r="B15591" s="4"/>
    </row>
    <row r="15592" spans="1:2" x14ac:dyDescent="0.4">
      <c r="A15592" s="4"/>
      <c r="B15592" s="4"/>
    </row>
    <row r="15593" spans="1:2" x14ac:dyDescent="0.4">
      <c r="A15593" s="4"/>
      <c r="B15593" s="4"/>
    </row>
    <row r="15594" spans="1:2" x14ac:dyDescent="0.4">
      <c r="A15594" s="4"/>
      <c r="B15594" s="4"/>
    </row>
    <row r="15595" spans="1:2" x14ac:dyDescent="0.4">
      <c r="A15595" s="4"/>
      <c r="B15595" s="4"/>
    </row>
    <row r="15596" spans="1:2" x14ac:dyDescent="0.4">
      <c r="A15596" s="4"/>
      <c r="B15596" s="4"/>
    </row>
    <row r="15597" spans="1:2" x14ac:dyDescent="0.4">
      <c r="A15597" s="4"/>
      <c r="B15597" s="4"/>
    </row>
    <row r="15598" spans="1:2" x14ac:dyDescent="0.4">
      <c r="A15598" s="4"/>
      <c r="B15598" s="4"/>
    </row>
    <row r="15599" spans="1:2" x14ac:dyDescent="0.4">
      <c r="A15599" s="4"/>
      <c r="B15599" s="4"/>
    </row>
    <row r="15600" spans="1:2" x14ac:dyDescent="0.4">
      <c r="A15600" s="4"/>
      <c r="B15600" s="4"/>
    </row>
    <row r="15601" spans="1:2" x14ac:dyDescent="0.4">
      <c r="A15601" s="4"/>
      <c r="B15601" s="4"/>
    </row>
    <row r="15602" spans="1:2" x14ac:dyDescent="0.4">
      <c r="A15602" s="4"/>
      <c r="B15602" s="4"/>
    </row>
    <row r="15603" spans="1:2" x14ac:dyDescent="0.4">
      <c r="A15603" s="4"/>
      <c r="B15603" s="4"/>
    </row>
    <row r="15604" spans="1:2" x14ac:dyDescent="0.4">
      <c r="A15604" s="4"/>
      <c r="B15604" s="4"/>
    </row>
    <row r="15605" spans="1:2" x14ac:dyDescent="0.4">
      <c r="A15605" s="4"/>
      <c r="B15605" s="4"/>
    </row>
    <row r="15606" spans="1:2" x14ac:dyDescent="0.4">
      <c r="A15606" s="4"/>
      <c r="B15606" s="4"/>
    </row>
    <row r="15607" spans="1:2" x14ac:dyDescent="0.4">
      <c r="A15607" s="4"/>
      <c r="B15607" s="4"/>
    </row>
    <row r="15608" spans="1:2" x14ac:dyDescent="0.4">
      <c r="A15608" s="4"/>
      <c r="B15608" s="4"/>
    </row>
    <row r="15609" spans="1:2" x14ac:dyDescent="0.4">
      <c r="A15609" s="4"/>
      <c r="B15609" s="4"/>
    </row>
    <row r="15610" spans="1:2" x14ac:dyDescent="0.4">
      <c r="A15610" s="4"/>
      <c r="B15610" s="4"/>
    </row>
    <row r="15611" spans="1:2" x14ac:dyDescent="0.4">
      <c r="A15611" s="4"/>
      <c r="B15611" s="4"/>
    </row>
    <row r="15612" spans="1:2" x14ac:dyDescent="0.4">
      <c r="A15612" s="4"/>
      <c r="B15612" s="4"/>
    </row>
    <row r="15613" spans="1:2" x14ac:dyDescent="0.4">
      <c r="A15613" s="4"/>
      <c r="B15613" s="4"/>
    </row>
    <row r="15614" spans="1:2" x14ac:dyDescent="0.4">
      <c r="A15614" s="4"/>
      <c r="B15614" s="4"/>
    </row>
    <row r="15615" spans="1:2" x14ac:dyDescent="0.4">
      <c r="A15615" s="4"/>
      <c r="B15615" s="4"/>
    </row>
    <row r="15616" spans="1:2" x14ac:dyDescent="0.4">
      <c r="A15616" s="4"/>
      <c r="B15616" s="4"/>
    </row>
    <row r="15617" spans="1:2" x14ac:dyDescent="0.4">
      <c r="A15617" s="4"/>
      <c r="B15617" s="4"/>
    </row>
    <row r="15618" spans="1:2" x14ac:dyDescent="0.4">
      <c r="A15618" s="4"/>
      <c r="B15618" s="4"/>
    </row>
    <row r="15619" spans="1:2" x14ac:dyDescent="0.4">
      <c r="A15619" s="4"/>
      <c r="B15619" s="4"/>
    </row>
    <row r="15620" spans="1:2" x14ac:dyDescent="0.4">
      <c r="A15620" s="4"/>
      <c r="B15620" s="4"/>
    </row>
    <row r="15621" spans="1:2" x14ac:dyDescent="0.4">
      <c r="A15621" s="4"/>
      <c r="B15621" s="4"/>
    </row>
    <row r="15622" spans="1:2" x14ac:dyDescent="0.4">
      <c r="A15622" s="4"/>
      <c r="B15622" s="4"/>
    </row>
    <row r="15623" spans="1:2" x14ac:dyDescent="0.4">
      <c r="A15623" s="4"/>
      <c r="B15623" s="4"/>
    </row>
    <row r="15624" spans="1:2" x14ac:dyDescent="0.4">
      <c r="A15624" s="4"/>
      <c r="B15624" s="4"/>
    </row>
    <row r="15625" spans="1:2" x14ac:dyDescent="0.4">
      <c r="A15625" s="4"/>
      <c r="B15625" s="4"/>
    </row>
    <row r="15626" spans="1:2" x14ac:dyDescent="0.4">
      <c r="A15626" s="4"/>
      <c r="B15626" s="4"/>
    </row>
    <row r="15627" spans="1:2" x14ac:dyDescent="0.4">
      <c r="A15627" s="4"/>
      <c r="B15627" s="4"/>
    </row>
    <row r="15628" spans="1:2" x14ac:dyDescent="0.4">
      <c r="A15628" s="4"/>
      <c r="B15628" s="4"/>
    </row>
    <row r="15629" spans="1:2" x14ac:dyDescent="0.4">
      <c r="A15629" s="4"/>
      <c r="B15629" s="4"/>
    </row>
    <row r="15630" spans="1:2" x14ac:dyDescent="0.4">
      <c r="A15630" s="4"/>
      <c r="B15630" s="4"/>
    </row>
    <row r="15631" spans="1:2" x14ac:dyDescent="0.4">
      <c r="A15631" s="4"/>
      <c r="B15631" s="4"/>
    </row>
    <row r="15632" spans="1:2" x14ac:dyDescent="0.4">
      <c r="A15632" s="4"/>
      <c r="B15632" s="4"/>
    </row>
    <row r="15633" spans="1:2" x14ac:dyDescent="0.4">
      <c r="A15633" s="4"/>
      <c r="B15633" s="4"/>
    </row>
    <row r="15634" spans="1:2" x14ac:dyDescent="0.4">
      <c r="A15634" s="4"/>
      <c r="B15634" s="4"/>
    </row>
    <row r="15635" spans="1:2" x14ac:dyDescent="0.4">
      <c r="A15635" s="4"/>
      <c r="B15635" s="4"/>
    </row>
    <row r="15636" spans="1:2" x14ac:dyDescent="0.4">
      <c r="A15636" s="4"/>
      <c r="B15636" s="4"/>
    </row>
    <row r="15637" spans="1:2" x14ac:dyDescent="0.4">
      <c r="A15637" s="4"/>
      <c r="B15637" s="4"/>
    </row>
    <row r="15638" spans="1:2" x14ac:dyDescent="0.4">
      <c r="A15638" s="4"/>
      <c r="B15638" s="4"/>
    </row>
    <row r="15639" spans="1:2" x14ac:dyDescent="0.4">
      <c r="A15639" s="4"/>
      <c r="B15639" s="4"/>
    </row>
    <row r="15640" spans="1:2" x14ac:dyDescent="0.4">
      <c r="A15640" s="4"/>
      <c r="B15640" s="4"/>
    </row>
    <row r="15641" spans="1:2" x14ac:dyDescent="0.4">
      <c r="A15641" s="4"/>
      <c r="B15641" s="4"/>
    </row>
    <row r="15642" spans="1:2" x14ac:dyDescent="0.4">
      <c r="A15642" s="4"/>
      <c r="B15642" s="4"/>
    </row>
    <row r="15643" spans="1:2" x14ac:dyDescent="0.4">
      <c r="A15643" s="4"/>
      <c r="B15643" s="4"/>
    </row>
    <row r="15644" spans="1:2" x14ac:dyDescent="0.4">
      <c r="A15644" s="4"/>
      <c r="B15644" s="4"/>
    </row>
    <row r="15645" spans="1:2" x14ac:dyDescent="0.4">
      <c r="A15645" s="4"/>
      <c r="B15645" s="4"/>
    </row>
    <row r="15646" spans="1:2" x14ac:dyDescent="0.4">
      <c r="A15646" s="4"/>
      <c r="B15646" s="4"/>
    </row>
    <row r="15647" spans="1:2" x14ac:dyDescent="0.4">
      <c r="A15647" s="4"/>
      <c r="B15647" s="4"/>
    </row>
    <row r="15648" spans="1:2" x14ac:dyDescent="0.4">
      <c r="A15648" s="4"/>
      <c r="B15648" s="4"/>
    </row>
    <row r="15649" spans="1:2" x14ac:dyDescent="0.4">
      <c r="A15649" s="4"/>
      <c r="B15649" s="4"/>
    </row>
    <row r="15650" spans="1:2" x14ac:dyDescent="0.4">
      <c r="A15650" s="4"/>
      <c r="B15650" s="4"/>
    </row>
    <row r="15651" spans="1:2" x14ac:dyDescent="0.4">
      <c r="A15651" s="4"/>
      <c r="B15651" s="4"/>
    </row>
    <row r="15652" spans="1:2" x14ac:dyDescent="0.4">
      <c r="A15652" s="4"/>
      <c r="B15652" s="4"/>
    </row>
    <row r="15653" spans="1:2" x14ac:dyDescent="0.4">
      <c r="A15653" s="4"/>
      <c r="B15653" s="4"/>
    </row>
    <row r="15654" spans="1:2" x14ac:dyDescent="0.4">
      <c r="A15654" s="4"/>
      <c r="B15654" s="4"/>
    </row>
    <row r="15655" spans="1:2" x14ac:dyDescent="0.4">
      <c r="A15655" s="4"/>
      <c r="B15655" s="4"/>
    </row>
    <row r="15656" spans="1:2" x14ac:dyDescent="0.4">
      <c r="A15656" s="4"/>
      <c r="B15656" s="4"/>
    </row>
    <row r="15657" spans="1:2" x14ac:dyDescent="0.4">
      <c r="A15657" s="4"/>
      <c r="B15657" s="4"/>
    </row>
    <row r="15658" spans="1:2" x14ac:dyDescent="0.4">
      <c r="A15658" s="4"/>
      <c r="B15658" s="4"/>
    </row>
    <row r="15659" spans="1:2" x14ac:dyDescent="0.4">
      <c r="A15659" s="4"/>
      <c r="B15659" s="4"/>
    </row>
    <row r="15660" spans="1:2" x14ac:dyDescent="0.4">
      <c r="A15660" s="4"/>
      <c r="B15660" s="4"/>
    </row>
    <row r="15661" spans="1:2" x14ac:dyDescent="0.4">
      <c r="A15661" s="4"/>
      <c r="B15661" s="4"/>
    </row>
    <row r="15662" spans="1:2" x14ac:dyDescent="0.4">
      <c r="A15662" s="4"/>
      <c r="B15662" s="4"/>
    </row>
    <row r="15663" spans="1:2" x14ac:dyDescent="0.4">
      <c r="A15663" s="4"/>
      <c r="B15663" s="4"/>
    </row>
    <row r="15664" spans="1:2" x14ac:dyDescent="0.4">
      <c r="A15664" s="4"/>
      <c r="B15664" s="4"/>
    </row>
    <row r="15665" spans="1:2" x14ac:dyDescent="0.4">
      <c r="A15665" s="4"/>
      <c r="B15665" s="4"/>
    </row>
    <row r="15666" spans="1:2" x14ac:dyDescent="0.4">
      <c r="A15666" s="4"/>
      <c r="B15666" s="4"/>
    </row>
    <row r="15667" spans="1:2" x14ac:dyDescent="0.4">
      <c r="A15667" s="4"/>
      <c r="B15667" s="4"/>
    </row>
    <row r="15668" spans="1:2" x14ac:dyDescent="0.4">
      <c r="A15668" s="4"/>
      <c r="B15668" s="4"/>
    </row>
    <row r="15669" spans="1:2" x14ac:dyDescent="0.4">
      <c r="A15669" s="4"/>
      <c r="B15669" s="4"/>
    </row>
    <row r="15670" spans="1:2" x14ac:dyDescent="0.4">
      <c r="A15670" s="4"/>
      <c r="B15670" s="4"/>
    </row>
    <row r="15671" spans="1:2" x14ac:dyDescent="0.4">
      <c r="A15671" s="4"/>
      <c r="B15671" s="4"/>
    </row>
    <row r="15672" spans="1:2" x14ac:dyDescent="0.4">
      <c r="A15672" s="4"/>
      <c r="B15672" s="4"/>
    </row>
    <row r="15673" spans="1:2" x14ac:dyDescent="0.4">
      <c r="A15673" s="4"/>
      <c r="B15673" s="4"/>
    </row>
    <row r="15674" spans="1:2" x14ac:dyDescent="0.4">
      <c r="A15674" s="4"/>
      <c r="B15674" s="4"/>
    </row>
    <row r="15675" spans="1:2" x14ac:dyDescent="0.4">
      <c r="A15675" s="4"/>
      <c r="B15675" s="4"/>
    </row>
    <row r="15676" spans="1:2" x14ac:dyDescent="0.4">
      <c r="A15676" s="4"/>
      <c r="B15676" s="4"/>
    </row>
    <row r="15677" spans="1:2" x14ac:dyDescent="0.4">
      <c r="A15677" s="4"/>
      <c r="B15677" s="4"/>
    </row>
    <row r="15678" spans="1:2" x14ac:dyDescent="0.4">
      <c r="A15678" s="4"/>
      <c r="B15678" s="4"/>
    </row>
    <row r="15679" spans="1:2" x14ac:dyDescent="0.4">
      <c r="A15679" s="4"/>
      <c r="B15679" s="4"/>
    </row>
    <row r="15680" spans="1:2" x14ac:dyDescent="0.4">
      <c r="A15680" s="4"/>
      <c r="B15680" s="4"/>
    </row>
    <row r="15681" spans="1:2" x14ac:dyDescent="0.4">
      <c r="A15681" s="4"/>
      <c r="B15681" s="4"/>
    </row>
    <row r="15682" spans="1:2" x14ac:dyDescent="0.4">
      <c r="A15682" s="4"/>
      <c r="B15682" s="4"/>
    </row>
    <row r="15683" spans="1:2" x14ac:dyDescent="0.4">
      <c r="A15683" s="4"/>
      <c r="B15683" s="4"/>
    </row>
    <row r="15684" spans="1:2" x14ac:dyDescent="0.4">
      <c r="A15684" s="4"/>
      <c r="B15684" s="4"/>
    </row>
    <row r="15685" spans="1:2" x14ac:dyDescent="0.4">
      <c r="A15685" s="4"/>
      <c r="B15685" s="4"/>
    </row>
    <row r="15686" spans="1:2" x14ac:dyDescent="0.4">
      <c r="A15686" s="4"/>
      <c r="B15686" s="4"/>
    </row>
    <row r="15687" spans="1:2" x14ac:dyDescent="0.4">
      <c r="A15687" s="4"/>
      <c r="B15687" s="4"/>
    </row>
    <row r="15688" spans="1:2" x14ac:dyDescent="0.4">
      <c r="A15688" s="4"/>
      <c r="B15688" s="4"/>
    </row>
    <row r="15689" spans="1:2" x14ac:dyDescent="0.4">
      <c r="A15689" s="4"/>
      <c r="B15689" s="4"/>
    </row>
    <row r="15690" spans="1:2" x14ac:dyDescent="0.4">
      <c r="A15690" s="4"/>
      <c r="B15690" s="4"/>
    </row>
    <row r="15691" spans="1:2" x14ac:dyDescent="0.4">
      <c r="A15691" s="4"/>
      <c r="B15691" s="4"/>
    </row>
    <row r="15692" spans="1:2" x14ac:dyDescent="0.4">
      <c r="A15692" s="4"/>
      <c r="B15692" s="4"/>
    </row>
    <row r="15693" spans="1:2" x14ac:dyDescent="0.4">
      <c r="A15693" s="4"/>
      <c r="B15693" s="4"/>
    </row>
    <row r="15694" spans="1:2" x14ac:dyDescent="0.4">
      <c r="A15694" s="4"/>
      <c r="B15694" s="4"/>
    </row>
    <row r="15695" spans="1:2" x14ac:dyDescent="0.4">
      <c r="A15695" s="4"/>
      <c r="B15695" s="4"/>
    </row>
    <row r="15696" spans="1:2" x14ac:dyDescent="0.4">
      <c r="A15696" s="4"/>
      <c r="B15696" s="4"/>
    </row>
    <row r="15697" spans="1:2" x14ac:dyDescent="0.4">
      <c r="A15697" s="4"/>
      <c r="B15697" s="4"/>
    </row>
    <row r="15698" spans="1:2" x14ac:dyDescent="0.4">
      <c r="A15698" s="4"/>
      <c r="B15698" s="4"/>
    </row>
    <row r="15699" spans="1:2" x14ac:dyDescent="0.4">
      <c r="A15699" s="4"/>
      <c r="B15699" s="4"/>
    </row>
    <row r="15700" spans="1:2" x14ac:dyDescent="0.4">
      <c r="A15700" s="4"/>
      <c r="B15700" s="4"/>
    </row>
    <row r="15701" spans="1:2" x14ac:dyDescent="0.4">
      <c r="A15701" s="4"/>
      <c r="B15701" s="4"/>
    </row>
    <row r="15702" spans="1:2" x14ac:dyDescent="0.4">
      <c r="A15702" s="4"/>
      <c r="B15702" s="4"/>
    </row>
    <row r="15703" spans="1:2" x14ac:dyDescent="0.4">
      <c r="A15703" s="4"/>
      <c r="B15703" s="4"/>
    </row>
    <row r="15704" spans="1:2" x14ac:dyDescent="0.4">
      <c r="A15704" s="4"/>
      <c r="B15704" s="4"/>
    </row>
    <row r="15705" spans="1:2" x14ac:dyDescent="0.4">
      <c r="A15705" s="4"/>
      <c r="B15705" s="4"/>
    </row>
    <row r="15706" spans="1:2" x14ac:dyDescent="0.4">
      <c r="A15706" s="4"/>
      <c r="B15706" s="4"/>
    </row>
    <row r="15707" spans="1:2" x14ac:dyDescent="0.4">
      <c r="A15707" s="4"/>
      <c r="B15707" s="4"/>
    </row>
    <row r="15708" spans="1:2" x14ac:dyDescent="0.4">
      <c r="A15708" s="4"/>
      <c r="B15708" s="4"/>
    </row>
    <row r="15709" spans="1:2" x14ac:dyDescent="0.4">
      <c r="A15709" s="4"/>
      <c r="B15709" s="4"/>
    </row>
    <row r="15710" spans="1:2" x14ac:dyDescent="0.4">
      <c r="A15710" s="4"/>
      <c r="B15710" s="4"/>
    </row>
    <row r="15711" spans="1:2" x14ac:dyDescent="0.4">
      <c r="A15711" s="4"/>
      <c r="B15711" s="4"/>
    </row>
    <row r="15712" spans="1:2" x14ac:dyDescent="0.4">
      <c r="A15712" s="4"/>
      <c r="B15712" s="4"/>
    </row>
    <row r="15713" spans="1:2" x14ac:dyDescent="0.4">
      <c r="A15713" s="4"/>
      <c r="B15713" s="4"/>
    </row>
    <row r="15714" spans="1:2" x14ac:dyDescent="0.4">
      <c r="A15714" s="4"/>
      <c r="B15714" s="4"/>
    </row>
    <row r="15715" spans="1:2" x14ac:dyDescent="0.4">
      <c r="A15715" s="4"/>
      <c r="B15715" s="4"/>
    </row>
    <row r="15716" spans="1:2" x14ac:dyDescent="0.4">
      <c r="A15716" s="4"/>
      <c r="B15716" s="4"/>
    </row>
    <row r="15717" spans="1:2" x14ac:dyDescent="0.4">
      <c r="A15717" s="4"/>
      <c r="B15717" s="4"/>
    </row>
    <row r="15718" spans="1:2" x14ac:dyDescent="0.4">
      <c r="A15718" s="4"/>
      <c r="B15718" s="4"/>
    </row>
    <row r="15719" spans="1:2" x14ac:dyDescent="0.4">
      <c r="A15719" s="4"/>
      <c r="B15719" s="4"/>
    </row>
    <row r="15720" spans="1:2" x14ac:dyDescent="0.4">
      <c r="A15720" s="4"/>
      <c r="B15720" s="4"/>
    </row>
    <row r="15721" spans="1:2" x14ac:dyDescent="0.4">
      <c r="A15721" s="4"/>
      <c r="B15721" s="4"/>
    </row>
    <row r="15722" spans="1:2" x14ac:dyDescent="0.4">
      <c r="A15722" s="4"/>
      <c r="B15722" s="4"/>
    </row>
    <row r="15723" spans="1:2" x14ac:dyDescent="0.4">
      <c r="A15723" s="4"/>
      <c r="B15723" s="4"/>
    </row>
    <row r="15724" spans="1:2" x14ac:dyDescent="0.4">
      <c r="A15724" s="4"/>
      <c r="B15724" s="4"/>
    </row>
    <row r="15725" spans="1:2" x14ac:dyDescent="0.4">
      <c r="A15725" s="4"/>
      <c r="B15725" s="4"/>
    </row>
    <row r="15726" spans="1:2" x14ac:dyDescent="0.4">
      <c r="A15726" s="4"/>
      <c r="B15726" s="4"/>
    </row>
    <row r="15727" spans="1:2" x14ac:dyDescent="0.4">
      <c r="A15727" s="4"/>
      <c r="B15727" s="4"/>
    </row>
    <row r="15728" spans="1:2" x14ac:dyDescent="0.4">
      <c r="A15728" s="4"/>
      <c r="B15728" s="4"/>
    </row>
    <row r="15729" spans="1:2" x14ac:dyDescent="0.4">
      <c r="A15729" s="4"/>
      <c r="B15729" s="4"/>
    </row>
    <row r="15730" spans="1:2" x14ac:dyDescent="0.4">
      <c r="A15730" s="4"/>
      <c r="B15730" s="4"/>
    </row>
    <row r="15731" spans="1:2" x14ac:dyDescent="0.4">
      <c r="A15731" s="4"/>
      <c r="B15731" s="4"/>
    </row>
    <row r="15732" spans="1:2" x14ac:dyDescent="0.4">
      <c r="A15732" s="4"/>
      <c r="B15732" s="4"/>
    </row>
    <row r="15733" spans="1:2" x14ac:dyDescent="0.4">
      <c r="A15733" s="4"/>
      <c r="B15733" s="4"/>
    </row>
    <row r="15734" spans="1:2" x14ac:dyDescent="0.4">
      <c r="A15734" s="4"/>
      <c r="B15734" s="4"/>
    </row>
    <row r="15735" spans="1:2" x14ac:dyDescent="0.4">
      <c r="A15735" s="4"/>
      <c r="B15735" s="4"/>
    </row>
    <row r="15736" spans="1:2" x14ac:dyDescent="0.4">
      <c r="A15736" s="4"/>
      <c r="B15736" s="4"/>
    </row>
    <row r="15737" spans="1:2" x14ac:dyDescent="0.4">
      <c r="A15737" s="4"/>
      <c r="B15737" s="4"/>
    </row>
    <row r="15738" spans="1:2" x14ac:dyDescent="0.4">
      <c r="A15738" s="4"/>
      <c r="B15738" s="4"/>
    </row>
    <row r="15739" spans="1:2" x14ac:dyDescent="0.4">
      <c r="A15739" s="4"/>
      <c r="B15739" s="4"/>
    </row>
    <row r="15740" spans="1:2" x14ac:dyDescent="0.4">
      <c r="A15740" s="4"/>
      <c r="B15740" s="4"/>
    </row>
    <row r="15741" spans="1:2" x14ac:dyDescent="0.4">
      <c r="A15741" s="4"/>
      <c r="B15741" s="4"/>
    </row>
    <row r="15742" spans="1:2" x14ac:dyDescent="0.4">
      <c r="A15742" s="4"/>
      <c r="B15742" s="4"/>
    </row>
    <row r="15743" spans="1:2" x14ac:dyDescent="0.4">
      <c r="A15743" s="4"/>
      <c r="B15743" s="4"/>
    </row>
    <row r="15744" spans="1:2" x14ac:dyDescent="0.4">
      <c r="A15744" s="4"/>
      <c r="B15744" s="4"/>
    </row>
    <row r="15745" spans="1:2" x14ac:dyDescent="0.4">
      <c r="A15745" s="4"/>
      <c r="B15745" s="4"/>
    </row>
    <row r="15746" spans="1:2" x14ac:dyDescent="0.4">
      <c r="A15746" s="4"/>
      <c r="B15746" s="4"/>
    </row>
    <row r="15747" spans="1:2" x14ac:dyDescent="0.4">
      <c r="A15747" s="4"/>
      <c r="B15747" s="4"/>
    </row>
    <row r="15748" spans="1:2" x14ac:dyDescent="0.4">
      <c r="A15748" s="4"/>
      <c r="B15748" s="4"/>
    </row>
    <row r="15749" spans="1:2" x14ac:dyDescent="0.4">
      <c r="A15749" s="4"/>
      <c r="B15749" s="4"/>
    </row>
    <row r="15750" spans="1:2" x14ac:dyDescent="0.4">
      <c r="A15750" s="4"/>
      <c r="B15750" s="4"/>
    </row>
    <row r="15751" spans="1:2" x14ac:dyDescent="0.4">
      <c r="A15751" s="4"/>
      <c r="B15751" s="4"/>
    </row>
    <row r="15752" spans="1:2" x14ac:dyDescent="0.4">
      <c r="A15752" s="4"/>
      <c r="B15752" s="4"/>
    </row>
    <row r="15753" spans="1:2" x14ac:dyDescent="0.4">
      <c r="A15753" s="4"/>
      <c r="B15753" s="4"/>
    </row>
    <row r="15754" spans="1:2" x14ac:dyDescent="0.4">
      <c r="A15754" s="4"/>
      <c r="B15754" s="4"/>
    </row>
    <row r="15755" spans="1:2" x14ac:dyDescent="0.4">
      <c r="A15755" s="4"/>
      <c r="B15755" s="4"/>
    </row>
    <row r="15756" spans="1:2" x14ac:dyDescent="0.4">
      <c r="A15756" s="4"/>
      <c r="B15756" s="4"/>
    </row>
    <row r="15757" spans="1:2" x14ac:dyDescent="0.4">
      <c r="A15757" s="4"/>
      <c r="B15757" s="4"/>
    </row>
    <row r="15758" spans="1:2" x14ac:dyDescent="0.4">
      <c r="A15758" s="4"/>
      <c r="B15758" s="4"/>
    </row>
    <row r="15759" spans="1:2" x14ac:dyDescent="0.4">
      <c r="A15759" s="4"/>
      <c r="B15759" s="4"/>
    </row>
    <row r="15760" spans="1:2" x14ac:dyDescent="0.4">
      <c r="A15760" s="4"/>
      <c r="B15760" s="4"/>
    </row>
    <row r="15761" spans="1:2" x14ac:dyDescent="0.4">
      <c r="A15761" s="4"/>
      <c r="B15761" s="4"/>
    </row>
    <row r="15762" spans="1:2" x14ac:dyDescent="0.4">
      <c r="A15762" s="4"/>
      <c r="B15762" s="4"/>
    </row>
    <row r="15763" spans="1:2" x14ac:dyDescent="0.4">
      <c r="A15763" s="4"/>
      <c r="B15763" s="4"/>
    </row>
    <row r="15764" spans="1:2" x14ac:dyDescent="0.4">
      <c r="A15764" s="4"/>
      <c r="B15764" s="4"/>
    </row>
    <row r="15765" spans="1:2" x14ac:dyDescent="0.4">
      <c r="A15765" s="4"/>
      <c r="B15765" s="4"/>
    </row>
    <row r="15766" spans="1:2" x14ac:dyDescent="0.4">
      <c r="A15766" s="4"/>
      <c r="B15766" s="4"/>
    </row>
    <row r="15767" spans="1:2" x14ac:dyDescent="0.4">
      <c r="A15767" s="4"/>
      <c r="B15767" s="4"/>
    </row>
    <row r="15768" spans="1:2" x14ac:dyDescent="0.4">
      <c r="A15768" s="4"/>
      <c r="B15768" s="4"/>
    </row>
    <row r="15769" spans="1:2" x14ac:dyDescent="0.4">
      <c r="A15769" s="4"/>
      <c r="B15769" s="4"/>
    </row>
    <row r="15770" spans="1:2" x14ac:dyDescent="0.4">
      <c r="A15770" s="4"/>
      <c r="B15770" s="4"/>
    </row>
    <row r="15771" spans="1:2" x14ac:dyDescent="0.4">
      <c r="A15771" s="4"/>
      <c r="B15771" s="4"/>
    </row>
    <row r="15772" spans="1:2" x14ac:dyDescent="0.4">
      <c r="A15772" s="4"/>
      <c r="B15772" s="4"/>
    </row>
    <row r="15773" spans="1:2" x14ac:dyDescent="0.4">
      <c r="A15773" s="4"/>
      <c r="B15773" s="4"/>
    </row>
    <row r="15774" spans="1:2" x14ac:dyDescent="0.4">
      <c r="A15774" s="4"/>
      <c r="B15774" s="4"/>
    </row>
    <row r="15775" spans="1:2" x14ac:dyDescent="0.4">
      <c r="A15775" s="4"/>
      <c r="B15775" s="4"/>
    </row>
    <row r="15776" spans="1:2" x14ac:dyDescent="0.4">
      <c r="A15776" s="4"/>
      <c r="B15776" s="4"/>
    </row>
    <row r="15777" spans="1:2" x14ac:dyDescent="0.4">
      <c r="A15777" s="4"/>
      <c r="B15777" s="4"/>
    </row>
    <row r="15778" spans="1:2" x14ac:dyDescent="0.4">
      <c r="A15778" s="4"/>
      <c r="B15778" s="4"/>
    </row>
    <row r="15779" spans="1:2" x14ac:dyDescent="0.4">
      <c r="A15779" s="4"/>
      <c r="B15779" s="4"/>
    </row>
    <row r="15780" spans="1:2" x14ac:dyDescent="0.4">
      <c r="A15780" s="4"/>
      <c r="B15780" s="4"/>
    </row>
    <row r="15781" spans="1:2" x14ac:dyDescent="0.4">
      <c r="A15781" s="4"/>
      <c r="B15781" s="4"/>
    </row>
    <row r="15782" spans="1:2" x14ac:dyDescent="0.4">
      <c r="A15782" s="4"/>
      <c r="B15782" s="4"/>
    </row>
    <row r="15783" spans="1:2" x14ac:dyDescent="0.4">
      <c r="A15783" s="4"/>
      <c r="B15783" s="4"/>
    </row>
    <row r="15784" spans="1:2" x14ac:dyDescent="0.4">
      <c r="A15784" s="4"/>
      <c r="B15784" s="4"/>
    </row>
    <row r="15785" spans="1:2" x14ac:dyDescent="0.4">
      <c r="A15785" s="4"/>
      <c r="B15785" s="4"/>
    </row>
    <row r="15786" spans="1:2" x14ac:dyDescent="0.4">
      <c r="A15786" s="4"/>
      <c r="B15786" s="4"/>
    </row>
    <row r="15787" spans="1:2" x14ac:dyDescent="0.4">
      <c r="A15787" s="4"/>
      <c r="B15787" s="4"/>
    </row>
    <row r="15788" spans="1:2" x14ac:dyDescent="0.4">
      <c r="A15788" s="4"/>
      <c r="B15788" s="4"/>
    </row>
    <row r="15789" spans="1:2" x14ac:dyDescent="0.4">
      <c r="A15789" s="4"/>
      <c r="B15789" s="4"/>
    </row>
    <row r="15790" spans="1:2" x14ac:dyDescent="0.4">
      <c r="A15790" s="4"/>
      <c r="B15790" s="4"/>
    </row>
    <row r="15791" spans="1:2" x14ac:dyDescent="0.4">
      <c r="A15791" s="4"/>
      <c r="B15791" s="4"/>
    </row>
    <row r="15792" spans="1:2" x14ac:dyDescent="0.4">
      <c r="A15792" s="4"/>
      <c r="B15792" s="4"/>
    </row>
    <row r="15793" spans="1:2" x14ac:dyDescent="0.4">
      <c r="A15793" s="4"/>
      <c r="B15793" s="4"/>
    </row>
    <row r="15794" spans="1:2" x14ac:dyDescent="0.4">
      <c r="A15794" s="4"/>
      <c r="B15794" s="4"/>
    </row>
    <row r="15795" spans="1:2" x14ac:dyDescent="0.4">
      <c r="A15795" s="4"/>
      <c r="B15795" s="4"/>
    </row>
    <row r="15796" spans="1:2" x14ac:dyDescent="0.4">
      <c r="A15796" s="4"/>
      <c r="B15796" s="4"/>
    </row>
    <row r="15797" spans="1:2" x14ac:dyDescent="0.4">
      <c r="A15797" s="4"/>
      <c r="B15797" s="4"/>
    </row>
    <row r="15798" spans="1:2" x14ac:dyDescent="0.4">
      <c r="A15798" s="4"/>
      <c r="B15798" s="4"/>
    </row>
    <row r="15799" spans="1:2" x14ac:dyDescent="0.4">
      <c r="A15799" s="4"/>
      <c r="B15799" s="4"/>
    </row>
    <row r="15800" spans="1:2" x14ac:dyDescent="0.4">
      <c r="A15800" s="4"/>
      <c r="B15800" s="4"/>
    </row>
    <row r="15801" spans="1:2" x14ac:dyDescent="0.4">
      <c r="A15801" s="4"/>
      <c r="B15801" s="4"/>
    </row>
    <row r="15802" spans="1:2" x14ac:dyDescent="0.4">
      <c r="A15802" s="4"/>
      <c r="B15802" s="4"/>
    </row>
    <row r="15803" spans="1:2" x14ac:dyDescent="0.4">
      <c r="A15803" s="4"/>
      <c r="B15803" s="4"/>
    </row>
    <row r="15804" spans="1:2" x14ac:dyDescent="0.4">
      <c r="A15804" s="4"/>
      <c r="B15804" s="4"/>
    </row>
    <row r="15805" spans="1:2" x14ac:dyDescent="0.4">
      <c r="A15805" s="4"/>
      <c r="B15805" s="4"/>
    </row>
    <row r="15806" spans="1:2" x14ac:dyDescent="0.4">
      <c r="A15806" s="4"/>
      <c r="B15806" s="4"/>
    </row>
    <row r="15807" spans="1:2" x14ac:dyDescent="0.4">
      <c r="A15807" s="4"/>
      <c r="B15807" s="4"/>
    </row>
    <row r="15808" spans="1:2" x14ac:dyDescent="0.4">
      <c r="A15808" s="4"/>
      <c r="B15808" s="4"/>
    </row>
    <row r="15809" spans="1:2" x14ac:dyDescent="0.4">
      <c r="A15809" s="4"/>
      <c r="B15809" s="4"/>
    </row>
    <row r="15810" spans="1:2" x14ac:dyDescent="0.4">
      <c r="A15810" s="4"/>
      <c r="B15810" s="4"/>
    </row>
    <row r="15811" spans="1:2" x14ac:dyDescent="0.4">
      <c r="A15811" s="4"/>
      <c r="B15811" s="4"/>
    </row>
    <row r="15812" spans="1:2" x14ac:dyDescent="0.4">
      <c r="A15812" s="4"/>
      <c r="B15812" s="4"/>
    </row>
    <row r="15813" spans="1:2" x14ac:dyDescent="0.4">
      <c r="A15813" s="4"/>
      <c r="B15813" s="4"/>
    </row>
    <row r="15814" spans="1:2" x14ac:dyDescent="0.4">
      <c r="A15814" s="4"/>
      <c r="B15814" s="4"/>
    </row>
    <row r="15815" spans="1:2" x14ac:dyDescent="0.4">
      <c r="A15815" s="4"/>
      <c r="B15815" s="4"/>
    </row>
    <row r="15816" spans="1:2" x14ac:dyDescent="0.4">
      <c r="A15816" s="4"/>
      <c r="B15816" s="4"/>
    </row>
    <row r="15817" spans="1:2" x14ac:dyDescent="0.4">
      <c r="A15817" s="4"/>
      <c r="B15817" s="4"/>
    </row>
    <row r="15818" spans="1:2" x14ac:dyDescent="0.4">
      <c r="A15818" s="4"/>
      <c r="B15818" s="4"/>
    </row>
    <row r="15819" spans="1:2" x14ac:dyDescent="0.4">
      <c r="A15819" s="4"/>
      <c r="B15819" s="4"/>
    </row>
    <row r="15820" spans="1:2" x14ac:dyDescent="0.4">
      <c r="A15820" s="4"/>
      <c r="B15820" s="4"/>
    </row>
    <row r="15821" spans="1:2" x14ac:dyDescent="0.4">
      <c r="A15821" s="4"/>
      <c r="B15821" s="4"/>
    </row>
    <row r="15822" spans="1:2" x14ac:dyDescent="0.4">
      <c r="A15822" s="4"/>
      <c r="B15822" s="4"/>
    </row>
    <row r="15823" spans="1:2" x14ac:dyDescent="0.4">
      <c r="A15823" s="4"/>
      <c r="B15823" s="4"/>
    </row>
    <row r="15824" spans="1:2" x14ac:dyDescent="0.4">
      <c r="A15824" s="4"/>
      <c r="B15824" s="4"/>
    </row>
    <row r="15825" spans="1:2" x14ac:dyDescent="0.4">
      <c r="A15825" s="4"/>
      <c r="B15825" s="4"/>
    </row>
    <row r="15826" spans="1:2" x14ac:dyDescent="0.4">
      <c r="A15826" s="4"/>
      <c r="B15826" s="4"/>
    </row>
    <row r="15827" spans="1:2" x14ac:dyDescent="0.4">
      <c r="A15827" s="4"/>
      <c r="B15827" s="4"/>
    </row>
    <row r="15828" spans="1:2" x14ac:dyDescent="0.4">
      <c r="A15828" s="4"/>
      <c r="B15828" s="4"/>
    </row>
    <row r="15829" spans="1:2" x14ac:dyDescent="0.4">
      <c r="A15829" s="4"/>
      <c r="B15829" s="4"/>
    </row>
    <row r="15830" spans="1:2" x14ac:dyDescent="0.4">
      <c r="A15830" s="4"/>
      <c r="B15830" s="4"/>
    </row>
    <row r="15831" spans="1:2" x14ac:dyDescent="0.4">
      <c r="A15831" s="4"/>
      <c r="B15831" s="4"/>
    </row>
    <row r="15832" spans="1:2" x14ac:dyDescent="0.4">
      <c r="A15832" s="4"/>
      <c r="B15832" s="4"/>
    </row>
    <row r="15833" spans="1:2" x14ac:dyDescent="0.4">
      <c r="A15833" s="4"/>
      <c r="B15833" s="4"/>
    </row>
    <row r="15834" spans="1:2" x14ac:dyDescent="0.4">
      <c r="A15834" s="4"/>
      <c r="B15834" s="4"/>
    </row>
    <row r="15835" spans="1:2" x14ac:dyDescent="0.4">
      <c r="A15835" s="4"/>
      <c r="B15835" s="4"/>
    </row>
    <row r="15836" spans="1:2" x14ac:dyDescent="0.4">
      <c r="A15836" s="4"/>
      <c r="B15836" s="4"/>
    </row>
    <row r="15837" spans="1:2" x14ac:dyDescent="0.4">
      <c r="A15837" s="4"/>
      <c r="B15837" s="4"/>
    </row>
    <row r="15838" spans="1:2" x14ac:dyDescent="0.4">
      <c r="A15838" s="4"/>
      <c r="B15838" s="4"/>
    </row>
    <row r="15839" spans="1:2" x14ac:dyDescent="0.4">
      <c r="A15839" s="4"/>
      <c r="B15839" s="4"/>
    </row>
    <row r="15840" spans="1:2" x14ac:dyDescent="0.4">
      <c r="A15840" s="4"/>
      <c r="B15840" s="4"/>
    </row>
    <row r="15841" spans="1:2" x14ac:dyDescent="0.4">
      <c r="A15841" s="4"/>
      <c r="B15841" s="4"/>
    </row>
    <row r="15842" spans="1:2" x14ac:dyDescent="0.4">
      <c r="A15842" s="4"/>
      <c r="B15842" s="4"/>
    </row>
    <row r="15843" spans="1:2" x14ac:dyDescent="0.4">
      <c r="A15843" s="4"/>
      <c r="B15843" s="4"/>
    </row>
    <row r="15844" spans="1:2" x14ac:dyDescent="0.4">
      <c r="A15844" s="4"/>
      <c r="B15844" s="4"/>
    </row>
    <row r="15845" spans="1:2" x14ac:dyDescent="0.4">
      <c r="A15845" s="4"/>
      <c r="B15845" s="4"/>
    </row>
    <row r="15846" spans="1:2" x14ac:dyDescent="0.4">
      <c r="A15846" s="4"/>
      <c r="B15846" s="4"/>
    </row>
    <row r="15847" spans="1:2" x14ac:dyDescent="0.4">
      <c r="A15847" s="4"/>
      <c r="B15847" s="4"/>
    </row>
    <row r="15848" spans="1:2" x14ac:dyDescent="0.4">
      <c r="A15848" s="4"/>
      <c r="B15848" s="4"/>
    </row>
    <row r="15849" spans="1:2" x14ac:dyDescent="0.4">
      <c r="A15849" s="4"/>
      <c r="B15849" s="4"/>
    </row>
    <row r="15850" spans="1:2" x14ac:dyDescent="0.4">
      <c r="A15850" s="4"/>
      <c r="B15850" s="4"/>
    </row>
    <row r="15851" spans="1:2" x14ac:dyDescent="0.4">
      <c r="A15851" s="4"/>
      <c r="B15851" s="4"/>
    </row>
    <row r="15852" spans="1:2" x14ac:dyDescent="0.4">
      <c r="A15852" s="4"/>
      <c r="B15852" s="4"/>
    </row>
    <row r="15853" spans="1:2" x14ac:dyDescent="0.4">
      <c r="A15853" s="4"/>
      <c r="B15853" s="4"/>
    </row>
    <row r="15854" spans="1:2" x14ac:dyDescent="0.4">
      <c r="A15854" s="4"/>
      <c r="B15854" s="4"/>
    </row>
    <row r="15855" spans="1:2" x14ac:dyDescent="0.4">
      <c r="A15855" s="4"/>
      <c r="B15855" s="4"/>
    </row>
    <row r="15856" spans="1:2" x14ac:dyDescent="0.4">
      <c r="A15856" s="4"/>
      <c r="B15856" s="4"/>
    </row>
    <row r="15857" spans="1:2" x14ac:dyDescent="0.4">
      <c r="A15857" s="4"/>
      <c r="B15857" s="4"/>
    </row>
    <row r="15858" spans="1:2" x14ac:dyDescent="0.4">
      <c r="A15858" s="4"/>
      <c r="B15858" s="4"/>
    </row>
    <row r="15859" spans="1:2" x14ac:dyDescent="0.4">
      <c r="A15859" s="4"/>
      <c r="B15859" s="4"/>
    </row>
    <row r="15860" spans="1:2" x14ac:dyDescent="0.4">
      <c r="A15860" s="4"/>
      <c r="B15860" s="4"/>
    </row>
    <row r="15861" spans="1:2" x14ac:dyDescent="0.4">
      <c r="A15861" s="4"/>
      <c r="B15861" s="4"/>
    </row>
    <row r="15862" spans="1:2" x14ac:dyDescent="0.4">
      <c r="A15862" s="4"/>
      <c r="B15862" s="4"/>
    </row>
    <row r="15863" spans="1:2" x14ac:dyDescent="0.4">
      <c r="A15863" s="4"/>
      <c r="B15863" s="4"/>
    </row>
    <row r="15864" spans="1:2" x14ac:dyDescent="0.4">
      <c r="A15864" s="4"/>
      <c r="B15864" s="4"/>
    </row>
    <row r="15865" spans="1:2" x14ac:dyDescent="0.4">
      <c r="A15865" s="4"/>
      <c r="B15865" s="4"/>
    </row>
    <row r="15866" spans="1:2" x14ac:dyDescent="0.4">
      <c r="A15866" s="4"/>
      <c r="B15866" s="4"/>
    </row>
    <row r="15867" spans="1:2" x14ac:dyDescent="0.4">
      <c r="A15867" s="4"/>
      <c r="B15867" s="4"/>
    </row>
    <row r="15868" spans="1:2" x14ac:dyDescent="0.4">
      <c r="A15868" s="4"/>
      <c r="B15868" s="4"/>
    </row>
    <row r="15869" spans="1:2" x14ac:dyDescent="0.4">
      <c r="A15869" s="4"/>
      <c r="B15869" s="4"/>
    </row>
    <row r="15870" spans="1:2" x14ac:dyDescent="0.4">
      <c r="A15870" s="4"/>
      <c r="B15870" s="4"/>
    </row>
    <row r="15871" spans="1:2" x14ac:dyDescent="0.4">
      <c r="A15871" s="4"/>
      <c r="B15871" s="4"/>
    </row>
    <row r="15872" spans="1:2" x14ac:dyDescent="0.4">
      <c r="A15872" s="4"/>
      <c r="B15872" s="4"/>
    </row>
    <row r="15873" spans="1:2" x14ac:dyDescent="0.4">
      <c r="A15873" s="4"/>
      <c r="B15873" s="4"/>
    </row>
    <row r="15874" spans="1:2" x14ac:dyDescent="0.4">
      <c r="A15874" s="4"/>
      <c r="B15874" s="4"/>
    </row>
    <row r="15875" spans="1:2" x14ac:dyDescent="0.4">
      <c r="A15875" s="4"/>
      <c r="B15875" s="4"/>
    </row>
    <row r="15876" spans="1:2" x14ac:dyDescent="0.4">
      <c r="A15876" s="4"/>
      <c r="B15876" s="4"/>
    </row>
    <row r="15877" spans="1:2" x14ac:dyDescent="0.4">
      <c r="A15877" s="4"/>
      <c r="B15877" s="4"/>
    </row>
    <row r="15878" spans="1:2" x14ac:dyDescent="0.4">
      <c r="A15878" s="4"/>
      <c r="B15878" s="4"/>
    </row>
    <row r="15879" spans="1:2" x14ac:dyDescent="0.4">
      <c r="A15879" s="4"/>
      <c r="B15879" s="4"/>
    </row>
    <row r="15880" spans="1:2" x14ac:dyDescent="0.4">
      <c r="A15880" s="4"/>
      <c r="B15880" s="4"/>
    </row>
    <row r="15881" spans="1:2" x14ac:dyDescent="0.4">
      <c r="A15881" s="4"/>
      <c r="B15881" s="4"/>
    </row>
    <row r="15882" spans="1:2" x14ac:dyDescent="0.4">
      <c r="A15882" s="4"/>
      <c r="B15882" s="4"/>
    </row>
    <row r="15883" spans="1:2" x14ac:dyDescent="0.4">
      <c r="A15883" s="4"/>
      <c r="B15883" s="4"/>
    </row>
    <row r="15884" spans="1:2" x14ac:dyDescent="0.4">
      <c r="A15884" s="4"/>
      <c r="B15884" s="4"/>
    </row>
    <row r="15885" spans="1:2" x14ac:dyDescent="0.4">
      <c r="A15885" s="4"/>
      <c r="B15885" s="4"/>
    </row>
    <row r="15886" spans="1:2" x14ac:dyDescent="0.4">
      <c r="A15886" s="4"/>
      <c r="B15886" s="4"/>
    </row>
    <row r="15887" spans="1:2" x14ac:dyDescent="0.4">
      <c r="A15887" s="4"/>
      <c r="B15887" s="4"/>
    </row>
    <row r="15888" spans="1:2" x14ac:dyDescent="0.4">
      <c r="A15888" s="4"/>
      <c r="B15888" s="4"/>
    </row>
    <row r="15889" spans="1:2" x14ac:dyDescent="0.4">
      <c r="A15889" s="4"/>
      <c r="B15889" s="4"/>
    </row>
    <row r="15890" spans="1:2" x14ac:dyDescent="0.4">
      <c r="A15890" s="4"/>
      <c r="B15890" s="4"/>
    </row>
    <row r="15891" spans="1:2" x14ac:dyDescent="0.4">
      <c r="A15891" s="4"/>
      <c r="B15891" s="4"/>
    </row>
    <row r="15892" spans="1:2" x14ac:dyDescent="0.4">
      <c r="A15892" s="4"/>
      <c r="B15892" s="4"/>
    </row>
    <row r="15893" spans="1:2" x14ac:dyDescent="0.4">
      <c r="A15893" s="4"/>
      <c r="B15893" s="4"/>
    </row>
    <row r="15894" spans="1:2" x14ac:dyDescent="0.4">
      <c r="A15894" s="4"/>
      <c r="B15894" s="4"/>
    </row>
    <row r="15895" spans="1:2" x14ac:dyDescent="0.4">
      <c r="A15895" s="4"/>
      <c r="B15895" s="4"/>
    </row>
    <row r="15896" spans="1:2" x14ac:dyDescent="0.4">
      <c r="A15896" s="4"/>
      <c r="B15896" s="4"/>
    </row>
    <row r="15897" spans="1:2" x14ac:dyDescent="0.4">
      <c r="A15897" s="4"/>
      <c r="B15897" s="4"/>
    </row>
    <row r="15898" spans="1:2" x14ac:dyDescent="0.4">
      <c r="A15898" s="4"/>
      <c r="B15898" s="4"/>
    </row>
    <row r="15899" spans="1:2" x14ac:dyDescent="0.4">
      <c r="A15899" s="4"/>
      <c r="B15899" s="4"/>
    </row>
    <row r="15900" spans="1:2" x14ac:dyDescent="0.4">
      <c r="A15900" s="4"/>
      <c r="B15900" s="4"/>
    </row>
    <row r="15901" spans="1:2" x14ac:dyDescent="0.4">
      <c r="A15901" s="4"/>
      <c r="B15901" s="4"/>
    </row>
    <row r="15902" spans="1:2" x14ac:dyDescent="0.4">
      <c r="A15902" s="4"/>
      <c r="B15902" s="4"/>
    </row>
    <row r="15903" spans="1:2" x14ac:dyDescent="0.4">
      <c r="A15903" s="4"/>
      <c r="B15903" s="4"/>
    </row>
    <row r="15904" spans="1:2" x14ac:dyDescent="0.4">
      <c r="A15904" s="4"/>
      <c r="B15904" s="4"/>
    </row>
    <row r="15905" spans="1:2" x14ac:dyDescent="0.4">
      <c r="A15905" s="4"/>
      <c r="B15905" s="4"/>
    </row>
    <row r="15906" spans="1:2" x14ac:dyDescent="0.4">
      <c r="A15906" s="4"/>
      <c r="B15906" s="4"/>
    </row>
    <row r="15907" spans="1:2" x14ac:dyDescent="0.4">
      <c r="A15907" s="4"/>
      <c r="B15907" s="4"/>
    </row>
    <row r="15908" spans="1:2" x14ac:dyDescent="0.4">
      <c r="A15908" s="4"/>
      <c r="B15908" s="4"/>
    </row>
    <row r="15909" spans="1:2" x14ac:dyDescent="0.4">
      <c r="A15909" s="4"/>
      <c r="B15909" s="4"/>
    </row>
    <row r="15910" spans="1:2" x14ac:dyDescent="0.4">
      <c r="A15910" s="4"/>
      <c r="B15910" s="4"/>
    </row>
    <row r="15911" spans="1:2" x14ac:dyDescent="0.4">
      <c r="A15911" s="4"/>
      <c r="B15911" s="4"/>
    </row>
    <row r="15912" spans="1:2" x14ac:dyDescent="0.4">
      <c r="A15912" s="4"/>
      <c r="B15912" s="4"/>
    </row>
    <row r="15913" spans="1:2" x14ac:dyDescent="0.4">
      <c r="A15913" s="4"/>
      <c r="B15913" s="4"/>
    </row>
    <row r="15914" spans="1:2" x14ac:dyDescent="0.4">
      <c r="A15914" s="4"/>
      <c r="B15914" s="4"/>
    </row>
    <row r="15915" spans="1:2" x14ac:dyDescent="0.4">
      <c r="A15915" s="4"/>
      <c r="B15915" s="4"/>
    </row>
    <row r="15916" spans="1:2" x14ac:dyDescent="0.4">
      <c r="A15916" s="4"/>
      <c r="B15916" s="4"/>
    </row>
    <row r="15917" spans="1:2" x14ac:dyDescent="0.4">
      <c r="A15917" s="4"/>
      <c r="B15917" s="4"/>
    </row>
    <row r="15918" spans="1:2" x14ac:dyDescent="0.4">
      <c r="A15918" s="4"/>
      <c r="B15918" s="4"/>
    </row>
    <row r="15919" spans="1:2" x14ac:dyDescent="0.4">
      <c r="A15919" s="4"/>
      <c r="B15919" s="4"/>
    </row>
    <row r="15920" spans="1:2" x14ac:dyDescent="0.4">
      <c r="A15920" s="4"/>
      <c r="B15920" s="4"/>
    </row>
    <row r="15921" spans="1:2" x14ac:dyDescent="0.4">
      <c r="A15921" s="4"/>
      <c r="B15921" s="4"/>
    </row>
    <row r="15922" spans="1:2" x14ac:dyDescent="0.4">
      <c r="A15922" s="4"/>
      <c r="B15922" s="4"/>
    </row>
    <row r="15923" spans="1:2" x14ac:dyDescent="0.4">
      <c r="A15923" s="4"/>
      <c r="B15923" s="4"/>
    </row>
    <row r="15924" spans="1:2" x14ac:dyDescent="0.4">
      <c r="A15924" s="4"/>
      <c r="B15924" s="4"/>
    </row>
    <row r="15925" spans="1:2" x14ac:dyDescent="0.4">
      <c r="A15925" s="4"/>
      <c r="B15925" s="4"/>
    </row>
    <row r="15926" spans="1:2" x14ac:dyDescent="0.4">
      <c r="A15926" s="4"/>
      <c r="B15926" s="4"/>
    </row>
    <row r="15927" spans="1:2" x14ac:dyDescent="0.4">
      <c r="A15927" s="4"/>
      <c r="B15927" s="4"/>
    </row>
    <row r="15928" spans="1:2" x14ac:dyDescent="0.4">
      <c r="A15928" s="4"/>
      <c r="B15928" s="4"/>
    </row>
    <row r="15929" spans="1:2" x14ac:dyDescent="0.4">
      <c r="A15929" s="4"/>
      <c r="B15929" s="4"/>
    </row>
    <row r="15930" spans="1:2" x14ac:dyDescent="0.4">
      <c r="A15930" s="4"/>
      <c r="B15930" s="4"/>
    </row>
    <row r="15931" spans="1:2" x14ac:dyDescent="0.4">
      <c r="A15931" s="4"/>
      <c r="B15931" s="4"/>
    </row>
    <row r="15932" spans="1:2" x14ac:dyDescent="0.4">
      <c r="A15932" s="4"/>
      <c r="B15932" s="4"/>
    </row>
    <row r="15933" spans="1:2" x14ac:dyDescent="0.4">
      <c r="A15933" s="4"/>
      <c r="B15933" s="4"/>
    </row>
    <row r="15934" spans="1:2" x14ac:dyDescent="0.4">
      <c r="A15934" s="4"/>
      <c r="B15934" s="4"/>
    </row>
    <row r="15935" spans="1:2" x14ac:dyDescent="0.4">
      <c r="A15935" s="4"/>
      <c r="B15935" s="4"/>
    </row>
    <row r="15936" spans="1:2" x14ac:dyDescent="0.4">
      <c r="A15936" s="4"/>
      <c r="B15936" s="4"/>
    </row>
    <row r="15937" spans="1:2" x14ac:dyDescent="0.4">
      <c r="A15937" s="4"/>
      <c r="B15937" s="4"/>
    </row>
    <row r="15938" spans="1:2" x14ac:dyDescent="0.4">
      <c r="A15938" s="4"/>
      <c r="B15938" s="4"/>
    </row>
    <row r="15939" spans="1:2" x14ac:dyDescent="0.4">
      <c r="A15939" s="4"/>
      <c r="B15939" s="4"/>
    </row>
    <row r="15940" spans="1:2" x14ac:dyDescent="0.4">
      <c r="A15940" s="4"/>
      <c r="B15940" s="4"/>
    </row>
    <row r="15941" spans="1:2" x14ac:dyDescent="0.4">
      <c r="A15941" s="4"/>
      <c r="B15941" s="4"/>
    </row>
    <row r="15942" spans="1:2" x14ac:dyDescent="0.4">
      <c r="A15942" s="4"/>
      <c r="B15942" s="4"/>
    </row>
    <row r="15943" spans="1:2" x14ac:dyDescent="0.4">
      <c r="A15943" s="4"/>
      <c r="B15943" s="4"/>
    </row>
    <row r="15944" spans="1:2" x14ac:dyDescent="0.4">
      <c r="A15944" s="4"/>
      <c r="B15944" s="4"/>
    </row>
    <row r="15945" spans="1:2" x14ac:dyDescent="0.4">
      <c r="A15945" s="4"/>
      <c r="B15945" s="4"/>
    </row>
    <row r="15946" spans="1:2" x14ac:dyDescent="0.4">
      <c r="A15946" s="4"/>
      <c r="B15946" s="4"/>
    </row>
    <row r="15947" spans="1:2" x14ac:dyDescent="0.4">
      <c r="A15947" s="4"/>
      <c r="B15947" s="4"/>
    </row>
    <row r="15948" spans="1:2" x14ac:dyDescent="0.4">
      <c r="A15948" s="4"/>
      <c r="B15948" s="4"/>
    </row>
    <row r="15949" spans="1:2" x14ac:dyDescent="0.4">
      <c r="A15949" s="4"/>
      <c r="B15949" s="4"/>
    </row>
    <row r="15950" spans="1:2" x14ac:dyDescent="0.4">
      <c r="A15950" s="4"/>
      <c r="B15950" s="4"/>
    </row>
    <row r="15951" spans="1:2" x14ac:dyDescent="0.4">
      <c r="A15951" s="4"/>
      <c r="B15951" s="4"/>
    </row>
    <row r="15952" spans="1:2" x14ac:dyDescent="0.4">
      <c r="A15952" s="4"/>
      <c r="B15952" s="4"/>
    </row>
    <row r="15953" spans="1:2" x14ac:dyDescent="0.4">
      <c r="A15953" s="4"/>
      <c r="B15953" s="4"/>
    </row>
    <row r="15954" spans="1:2" x14ac:dyDescent="0.4">
      <c r="A15954" s="4"/>
      <c r="B15954" s="4"/>
    </row>
    <row r="15955" spans="1:2" x14ac:dyDescent="0.4">
      <c r="A15955" s="4"/>
      <c r="B15955" s="4"/>
    </row>
    <row r="15956" spans="1:2" x14ac:dyDescent="0.4">
      <c r="A15956" s="4"/>
      <c r="B15956" s="4"/>
    </row>
    <row r="15957" spans="1:2" x14ac:dyDescent="0.4">
      <c r="A15957" s="4"/>
      <c r="B15957" s="4"/>
    </row>
    <row r="15958" spans="1:2" x14ac:dyDescent="0.4">
      <c r="A15958" s="4"/>
      <c r="B15958" s="4"/>
    </row>
    <row r="15959" spans="1:2" x14ac:dyDescent="0.4">
      <c r="A15959" s="4"/>
      <c r="B15959" s="4"/>
    </row>
    <row r="15960" spans="1:2" x14ac:dyDescent="0.4">
      <c r="A15960" s="4"/>
      <c r="B15960" s="4"/>
    </row>
    <row r="15961" spans="1:2" x14ac:dyDescent="0.4">
      <c r="A15961" s="4"/>
      <c r="B15961" s="4"/>
    </row>
    <row r="15962" spans="1:2" x14ac:dyDescent="0.4">
      <c r="A15962" s="4"/>
      <c r="B15962" s="4"/>
    </row>
    <row r="15963" spans="1:2" x14ac:dyDescent="0.4">
      <c r="A15963" s="4"/>
      <c r="B15963" s="4"/>
    </row>
    <row r="15964" spans="1:2" x14ac:dyDescent="0.4">
      <c r="A15964" s="4"/>
      <c r="B15964" s="4"/>
    </row>
    <row r="15965" spans="1:2" x14ac:dyDescent="0.4">
      <c r="A15965" s="4"/>
      <c r="B15965" s="4"/>
    </row>
    <row r="15966" spans="1:2" x14ac:dyDescent="0.4">
      <c r="A15966" s="4"/>
      <c r="B15966" s="4"/>
    </row>
    <row r="15967" spans="1:2" x14ac:dyDescent="0.4">
      <c r="A15967" s="4"/>
      <c r="B15967" s="4"/>
    </row>
    <row r="15968" spans="1:2" x14ac:dyDescent="0.4">
      <c r="A15968" s="4"/>
      <c r="B15968" s="4"/>
    </row>
    <row r="15969" spans="1:2" x14ac:dyDescent="0.4">
      <c r="A15969" s="4"/>
      <c r="B15969" s="4"/>
    </row>
    <row r="15970" spans="1:2" x14ac:dyDescent="0.4">
      <c r="A15970" s="4"/>
      <c r="B15970" s="4"/>
    </row>
    <row r="15971" spans="1:2" x14ac:dyDescent="0.4">
      <c r="A15971" s="4"/>
      <c r="B15971" s="4"/>
    </row>
    <row r="15972" spans="1:2" x14ac:dyDescent="0.4">
      <c r="A15972" s="4"/>
      <c r="B15972" s="4"/>
    </row>
    <row r="15973" spans="1:2" x14ac:dyDescent="0.4">
      <c r="A15973" s="4"/>
      <c r="B15973" s="4"/>
    </row>
    <row r="15974" spans="1:2" x14ac:dyDescent="0.4">
      <c r="A15974" s="4"/>
      <c r="B15974" s="4"/>
    </row>
    <row r="15975" spans="1:2" x14ac:dyDescent="0.4">
      <c r="A15975" s="4"/>
      <c r="B15975" s="4"/>
    </row>
    <row r="15976" spans="1:2" x14ac:dyDescent="0.4">
      <c r="A15976" s="4"/>
      <c r="B15976" s="4"/>
    </row>
    <row r="15977" spans="1:2" x14ac:dyDescent="0.4">
      <c r="A15977" s="4"/>
      <c r="B15977" s="4"/>
    </row>
    <row r="15978" spans="1:2" x14ac:dyDescent="0.4">
      <c r="A15978" s="4"/>
      <c r="B15978" s="4"/>
    </row>
    <row r="15979" spans="1:2" x14ac:dyDescent="0.4">
      <c r="A15979" s="4"/>
      <c r="B15979" s="4"/>
    </row>
    <row r="15980" spans="1:2" x14ac:dyDescent="0.4">
      <c r="A15980" s="4"/>
      <c r="B15980" s="4"/>
    </row>
    <row r="15981" spans="1:2" x14ac:dyDescent="0.4">
      <c r="A15981" s="4"/>
      <c r="B15981" s="4"/>
    </row>
    <row r="15982" spans="1:2" x14ac:dyDescent="0.4">
      <c r="A15982" s="4"/>
      <c r="B15982" s="4"/>
    </row>
    <row r="15983" spans="1:2" x14ac:dyDescent="0.4">
      <c r="A15983" s="4"/>
      <c r="B15983" s="4"/>
    </row>
    <row r="15984" spans="1:2" x14ac:dyDescent="0.4">
      <c r="A15984" s="4"/>
      <c r="B15984" s="4"/>
    </row>
    <row r="15985" spans="1:2" x14ac:dyDescent="0.4">
      <c r="A15985" s="4"/>
      <c r="B15985" s="4"/>
    </row>
    <row r="15986" spans="1:2" x14ac:dyDescent="0.4">
      <c r="A15986" s="4"/>
      <c r="B15986" s="4"/>
    </row>
    <row r="15987" spans="1:2" x14ac:dyDescent="0.4">
      <c r="A15987" s="4"/>
      <c r="B15987" s="4"/>
    </row>
    <row r="15988" spans="1:2" x14ac:dyDescent="0.4">
      <c r="A15988" s="4"/>
      <c r="B15988" s="4"/>
    </row>
    <row r="15989" spans="1:2" x14ac:dyDescent="0.4">
      <c r="A15989" s="4"/>
      <c r="B15989" s="4"/>
    </row>
    <row r="15990" spans="1:2" x14ac:dyDescent="0.4">
      <c r="A15990" s="4"/>
      <c r="B15990" s="4"/>
    </row>
    <row r="15991" spans="1:2" x14ac:dyDescent="0.4">
      <c r="A15991" s="4"/>
      <c r="B15991" s="4"/>
    </row>
    <row r="15992" spans="1:2" x14ac:dyDescent="0.4">
      <c r="A15992" s="4"/>
      <c r="B15992" s="4"/>
    </row>
    <row r="15993" spans="1:2" x14ac:dyDescent="0.4">
      <c r="A15993" s="4"/>
      <c r="B15993" s="4"/>
    </row>
    <row r="15994" spans="1:2" x14ac:dyDescent="0.4">
      <c r="A15994" s="4"/>
      <c r="B15994" s="4"/>
    </row>
    <row r="15995" spans="1:2" x14ac:dyDescent="0.4">
      <c r="A15995" s="4"/>
      <c r="B15995" s="4"/>
    </row>
    <row r="15996" spans="1:2" x14ac:dyDescent="0.4">
      <c r="A15996" s="4"/>
      <c r="B15996" s="4"/>
    </row>
    <row r="15997" spans="1:2" x14ac:dyDescent="0.4">
      <c r="A15997" s="4"/>
      <c r="B15997" s="4"/>
    </row>
    <row r="15998" spans="1:2" x14ac:dyDescent="0.4">
      <c r="A15998" s="4"/>
      <c r="B15998" s="4"/>
    </row>
    <row r="15999" spans="1:2" x14ac:dyDescent="0.4">
      <c r="A15999" s="4"/>
      <c r="B15999" s="4"/>
    </row>
    <row r="16000" spans="1:2" x14ac:dyDescent="0.4">
      <c r="A16000" s="4"/>
      <c r="B16000" s="4"/>
    </row>
    <row r="16001" spans="1:2" x14ac:dyDescent="0.4">
      <c r="A16001" s="4"/>
      <c r="B16001" s="4"/>
    </row>
  </sheetData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完整S参数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wenshuhao</dc:creator>
  <cp:lastModifiedBy>wenshuhao</cp:lastModifiedBy>
  <dcterms:created xsi:type="dcterms:W3CDTF">2022-11-20T13:59:30Z</dcterms:created>
  <dcterms:modified xsi:type="dcterms:W3CDTF">2022-11-20T13:59:31Z</dcterms:modified>
</cp:coreProperties>
</file>